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96" windowWidth="18192" windowHeight="7236" activeTab="6"/>
  </bookViews>
  <sheets>
    <sheet name="1 т.1" sheetId="1" r:id="rId1"/>
    <sheet name="1 т.2и3" sheetId="2" r:id="rId2"/>
    <sheet name="1 т.4" sheetId="3" r:id="rId3"/>
    <sheet name="1 т.5" sheetId="4" r:id="rId4"/>
    <sheet name="1 т.6" sheetId="5" r:id="rId5"/>
    <sheet name="1 т.7" sheetId="6" r:id="rId6"/>
    <sheet name="2 т.1" sheetId="7" r:id="rId7"/>
    <sheet name="2 т.2" sheetId="8" r:id="rId8"/>
    <sheet name="2 т.3" sheetId="9" r:id="rId9"/>
    <sheet name="3" sheetId="10" r:id="rId10"/>
    <sheet name="4 n.1" sheetId="11" r:id="rId11"/>
    <sheet name="4 n.2" sheetId="12" r:id="rId12"/>
    <sheet name="5" sheetId="13" r:id="rId13"/>
    <sheet name="6" sheetId="14" r:id="rId14"/>
  </sheets>
  <definedNames>
    <definedName name="_xlnm.Print_Titles" localSheetId="6">'2 т.1'!$15:$15</definedName>
    <definedName name="_xlnm.Print_Titles" localSheetId="7">'2 т.2'!$7:$7</definedName>
    <definedName name="_xlnm.Print_Titles" localSheetId="9">'3'!$12:$12</definedName>
    <definedName name="_xlnm.Print_Titles" localSheetId="12">'5'!$8:$8</definedName>
  </definedNames>
  <calcPr calcId="145621"/>
  <fileRecoveryPr repairLoad="1"/>
</workbook>
</file>

<file path=xl/calcChain.xml><?xml version="1.0" encoding="utf-8"?>
<calcChain xmlns="http://schemas.openxmlformats.org/spreadsheetml/2006/main">
  <c r="K55" i="7" l="1"/>
  <c r="J55" i="7"/>
  <c r="I55" i="7"/>
  <c r="H55" i="7"/>
  <c r="G55" i="7"/>
  <c r="F55" i="7"/>
  <c r="E55" i="7"/>
  <c r="D55" i="7"/>
  <c r="C55" i="7"/>
  <c r="K54" i="7"/>
  <c r="J54" i="7"/>
  <c r="I54" i="7"/>
  <c r="H54" i="7"/>
  <c r="G54" i="7"/>
  <c r="F54" i="7"/>
  <c r="E54" i="7"/>
  <c r="D54" i="7"/>
  <c r="C54" i="7"/>
  <c r="K38" i="7"/>
  <c r="J38" i="7"/>
  <c r="I38" i="7"/>
  <c r="H38" i="7"/>
  <c r="G38" i="7"/>
  <c r="F38" i="7"/>
  <c r="E38" i="7"/>
  <c r="D38" i="7"/>
  <c r="C38" i="7"/>
  <c r="K37" i="7"/>
  <c r="J37" i="7"/>
  <c r="I37" i="7"/>
  <c r="H37" i="7"/>
  <c r="G37" i="7"/>
  <c r="F37" i="7"/>
  <c r="E37" i="7"/>
  <c r="D37" i="7"/>
  <c r="C37" i="7"/>
  <c r="K36" i="7"/>
  <c r="J36" i="7"/>
  <c r="I36" i="7"/>
  <c r="H36" i="7"/>
  <c r="G36" i="7"/>
  <c r="F36" i="7"/>
  <c r="E36" i="7"/>
  <c r="D36" i="7"/>
  <c r="C36" i="7"/>
  <c r="K35" i="7"/>
  <c r="J35" i="7"/>
  <c r="I35" i="7"/>
  <c r="H35" i="7"/>
  <c r="G35" i="7"/>
  <c r="F35" i="7"/>
  <c r="E35" i="7"/>
  <c r="D35" i="7"/>
  <c r="C35" i="7"/>
  <c r="J33" i="8" l="1"/>
  <c r="I33" i="8"/>
  <c r="H33" i="8"/>
  <c r="G33" i="8"/>
  <c r="F33" i="8"/>
  <c r="E33" i="8"/>
  <c r="D33" i="8"/>
  <c r="C33" i="8"/>
  <c r="J20" i="8"/>
  <c r="I20" i="8"/>
  <c r="H20" i="8"/>
  <c r="G20" i="8"/>
  <c r="F20" i="8"/>
  <c r="E20" i="8"/>
  <c r="D20" i="8"/>
  <c r="C20" i="8"/>
  <c r="K43" i="7" l="1"/>
  <c r="J43" i="7"/>
  <c r="I43" i="7"/>
  <c r="H43" i="7"/>
  <c r="G43" i="7"/>
  <c r="F43" i="7"/>
  <c r="E43" i="7"/>
  <c r="D43" i="7"/>
  <c r="C43" i="7"/>
  <c r="K42" i="7"/>
  <c r="J42" i="7"/>
  <c r="I42" i="7"/>
  <c r="H42" i="7"/>
  <c r="G42" i="7"/>
  <c r="F42" i="7"/>
  <c r="E42" i="7"/>
  <c r="D42" i="7"/>
  <c r="C42" i="7"/>
  <c r="K41" i="7"/>
  <c r="J41" i="7"/>
  <c r="I41" i="7"/>
  <c r="H41" i="7"/>
  <c r="G41" i="7"/>
  <c r="F41" i="7"/>
  <c r="E41" i="7"/>
  <c r="D41" i="7"/>
  <c r="C41" i="7"/>
  <c r="K40" i="7"/>
  <c r="J40" i="7"/>
  <c r="I40" i="7"/>
  <c r="H40" i="7"/>
  <c r="G40" i="7"/>
  <c r="F40" i="7"/>
  <c r="E40" i="7"/>
  <c r="D40" i="7"/>
  <c r="C40" i="7"/>
  <c r="B14" i="14" l="1"/>
  <c r="C14" i="14" s="1"/>
  <c r="E14" i="14"/>
  <c r="I14" i="14"/>
  <c r="C63" i="13"/>
  <c r="C60" i="13"/>
  <c r="C59" i="13"/>
  <c r="C56" i="13"/>
  <c r="C48" i="13"/>
  <c r="C43" i="13"/>
  <c r="C42" i="13"/>
  <c r="C39" i="13"/>
  <c r="C38" i="13"/>
  <c r="C34" i="13"/>
  <c r="C30" i="13"/>
  <c r="C29" i="13"/>
  <c r="C25" i="13"/>
  <c r="C24" i="13"/>
  <c r="C23" i="13"/>
  <c r="C22" i="13"/>
  <c r="C20" i="13"/>
  <c r="C19" i="13"/>
  <c r="C18" i="13"/>
  <c r="C17" i="13"/>
  <c r="C15" i="13"/>
  <c r="C13" i="13"/>
  <c r="C12" i="13"/>
  <c r="C11" i="13"/>
  <c r="F17" i="12"/>
  <c r="F16" i="12"/>
  <c r="D17" i="12"/>
  <c r="C17" i="12"/>
  <c r="D16" i="12"/>
  <c r="C16" i="12"/>
  <c r="E15" i="12"/>
  <c r="D15" i="12"/>
  <c r="C15" i="12"/>
  <c r="F14" i="12"/>
  <c r="E14" i="12"/>
  <c r="D14" i="12"/>
  <c r="F13" i="12"/>
  <c r="F12" i="12"/>
  <c r="F10" i="12"/>
  <c r="F11" i="12"/>
  <c r="F8" i="12"/>
  <c r="D8" i="12"/>
  <c r="C8" i="12"/>
  <c r="F25" i="11"/>
  <c r="F24" i="11"/>
  <c r="E25" i="11"/>
  <c r="E24" i="11"/>
  <c r="F23" i="11"/>
  <c r="D25" i="11"/>
  <c r="C25" i="11"/>
  <c r="D24" i="11"/>
  <c r="C24" i="11"/>
  <c r="E23" i="11"/>
  <c r="D23" i="11"/>
  <c r="C23" i="11"/>
  <c r="F22" i="11"/>
  <c r="E22" i="11"/>
  <c r="D22" i="11"/>
  <c r="C22" i="11"/>
  <c r="F19" i="11"/>
  <c r="F18" i="11"/>
  <c r="F16" i="11"/>
  <c r="E16" i="11"/>
  <c r="D16" i="11"/>
  <c r="C16" i="11"/>
  <c r="C257" i="10"/>
  <c r="C256" i="10"/>
  <c r="C271" i="10"/>
  <c r="C268" i="10"/>
  <c r="C267" i="10"/>
  <c r="C260" i="10"/>
  <c r="C251" i="10"/>
  <c r="C254" i="10"/>
  <c r="C259" i="10"/>
  <c r="C265" i="10"/>
  <c r="C270" i="10"/>
  <c r="C272" i="10"/>
  <c r="C264" i="10"/>
  <c r="C263" i="10"/>
  <c r="C262" i="10"/>
  <c r="C255" i="10"/>
  <c r="C249" i="10"/>
  <c r="C248" i="10"/>
  <c r="C244" i="10"/>
  <c r="C240" i="10"/>
  <c r="C236" i="10"/>
  <c r="C234" i="10"/>
  <c r="C232" i="10"/>
  <c r="C220" i="10"/>
  <c r="C219" i="10"/>
  <c r="C218" i="10"/>
  <c r="C190" i="10"/>
  <c r="C189" i="10"/>
  <c r="C188" i="10"/>
  <c r="C186" i="10"/>
  <c r="C185" i="10"/>
  <c r="C184" i="10"/>
  <c r="C183" i="10"/>
  <c r="C176" i="10"/>
  <c r="C175" i="10"/>
  <c r="C174" i="10"/>
  <c r="C161" i="10"/>
  <c r="C160" i="10"/>
  <c r="C159" i="10"/>
  <c r="C146" i="10"/>
  <c r="C145" i="10"/>
  <c r="C144" i="10"/>
  <c r="C141" i="10"/>
  <c r="C138" i="10"/>
  <c r="C137" i="10"/>
  <c r="C136" i="10"/>
  <c r="C133" i="10"/>
  <c r="C231" i="10"/>
  <c r="C230" i="10"/>
  <c r="C229" i="10"/>
  <c r="C228" i="10"/>
  <c r="C226" i="10"/>
  <c r="C225" i="10"/>
  <c r="C224" i="10"/>
  <c r="C223" i="10"/>
  <c r="C216" i="10"/>
  <c r="C215" i="10"/>
  <c r="C214" i="10"/>
  <c r="C213" i="10"/>
  <c r="C211" i="10"/>
  <c r="C210" i="10"/>
  <c r="C209" i="10"/>
  <c r="C208" i="10"/>
  <c r="C206" i="10"/>
  <c r="C205" i="10"/>
  <c r="C204" i="10"/>
  <c r="C203" i="10"/>
  <c r="C201" i="10"/>
  <c r="C200" i="10"/>
  <c r="C199" i="10"/>
  <c r="C198" i="10"/>
  <c r="C196" i="10"/>
  <c r="C195" i="10"/>
  <c r="C194" i="10"/>
  <c r="C193" i="10"/>
  <c r="C181" i="10"/>
  <c r="C180" i="10"/>
  <c r="C179" i="10"/>
  <c r="C178" i="10"/>
  <c r="C172" i="10"/>
  <c r="C171" i="10"/>
  <c r="C170" i="10"/>
  <c r="C169" i="10"/>
  <c r="C167" i="10"/>
  <c r="C166" i="10"/>
  <c r="C165" i="10"/>
  <c r="C164" i="10"/>
  <c r="C157" i="10"/>
  <c r="C156" i="10"/>
  <c r="C155" i="10"/>
  <c r="C154" i="10"/>
  <c r="C152" i="10"/>
  <c r="C151" i="10"/>
  <c r="C150" i="10"/>
  <c r="C149" i="10"/>
  <c r="C131" i="10"/>
  <c r="C130" i="10"/>
  <c r="C129" i="10"/>
  <c r="C126" i="10"/>
  <c r="C125" i="10"/>
  <c r="C124" i="10"/>
  <c r="C123" i="10"/>
  <c r="C121" i="10"/>
  <c r="C120" i="10"/>
  <c r="C119" i="10"/>
  <c r="C118" i="10"/>
  <c r="C116" i="10"/>
  <c r="C115" i="10"/>
  <c r="C114" i="10"/>
  <c r="C113" i="10"/>
  <c r="C111" i="10"/>
  <c r="C110" i="10"/>
  <c r="C109" i="10"/>
  <c r="C108" i="10"/>
  <c r="C105" i="10"/>
  <c r="C102" i="10"/>
  <c r="C101" i="10"/>
  <c r="C100" i="10"/>
  <c r="C98" i="10"/>
  <c r="C97" i="10"/>
  <c r="C96" i="10"/>
  <c r="C95" i="10"/>
  <c r="C90" i="10"/>
  <c r="C88" i="10"/>
  <c r="C87" i="10"/>
  <c r="C86" i="10"/>
  <c r="C83" i="10"/>
  <c r="C82" i="10"/>
  <c r="C81" i="10"/>
  <c r="C78" i="10"/>
  <c r="C76" i="10"/>
  <c r="C74" i="10"/>
  <c r="C73" i="10"/>
  <c r="C72" i="10"/>
  <c r="C71" i="10"/>
  <c r="C69" i="10"/>
  <c r="C67" i="10"/>
  <c r="C65" i="10"/>
  <c r="C64" i="10"/>
  <c r="C60" i="10"/>
  <c r="C53" i="10"/>
  <c r="C55" i="10"/>
  <c r="C27" i="10"/>
  <c r="C77" i="10"/>
  <c r="C59" i="10"/>
  <c r="C56" i="10"/>
  <c r="C51" i="10"/>
  <c r="C50" i="10"/>
  <c r="C48" i="10"/>
  <c r="C46" i="10"/>
  <c r="C45" i="10"/>
  <c r="C43" i="10"/>
  <c r="C41" i="10"/>
  <c r="C40" i="10"/>
  <c r="C38" i="10"/>
  <c r="C34" i="10"/>
  <c r="C33" i="10"/>
  <c r="C32" i="10"/>
  <c r="C24" i="10"/>
  <c r="C23" i="10"/>
  <c r="C22" i="10"/>
  <c r="C19" i="10"/>
  <c r="C16" i="10"/>
  <c r="C14" i="10"/>
  <c r="K19" i="9"/>
  <c r="L19" i="9"/>
  <c r="M19" i="9"/>
  <c r="K20" i="9"/>
  <c r="L20" i="9"/>
  <c r="M20" i="9"/>
  <c r="M18" i="9"/>
  <c r="L18" i="9"/>
  <c r="K18" i="9"/>
  <c r="D20" i="9"/>
  <c r="I19" i="9"/>
  <c r="I18" i="9"/>
  <c r="G19" i="9"/>
  <c r="H19" i="9"/>
  <c r="H18" i="9"/>
  <c r="G18" i="9"/>
  <c r="M16" i="9"/>
  <c r="L16" i="9"/>
  <c r="K16" i="9"/>
  <c r="J16" i="9"/>
  <c r="I16" i="9"/>
  <c r="H16" i="9"/>
  <c r="G16" i="9"/>
  <c r="E16" i="9"/>
  <c r="F16" i="9"/>
  <c r="D16" i="9"/>
  <c r="M14" i="9"/>
  <c r="K14" i="9"/>
  <c r="J14" i="9"/>
  <c r="I14" i="9"/>
  <c r="H14" i="9"/>
  <c r="F14" i="9"/>
  <c r="E14" i="9"/>
  <c r="D14" i="9"/>
  <c r="D12" i="9"/>
  <c r="I11" i="9"/>
  <c r="K11" i="9"/>
  <c r="L11" i="9"/>
  <c r="M11" i="9"/>
  <c r="K12" i="9"/>
  <c r="L12" i="9"/>
  <c r="M12" i="9"/>
  <c r="M10" i="9"/>
  <c r="L10" i="9"/>
  <c r="K10" i="9"/>
  <c r="I10" i="9"/>
  <c r="C11" i="9"/>
  <c r="D11" i="9"/>
  <c r="E11" i="9"/>
  <c r="F11" i="9"/>
  <c r="F10" i="9"/>
  <c r="E10" i="9"/>
  <c r="D10" i="9"/>
  <c r="J31" i="8"/>
  <c r="I31" i="8"/>
  <c r="H31" i="8"/>
  <c r="G31" i="8"/>
  <c r="F31" i="8"/>
  <c r="E31" i="8"/>
  <c r="J29" i="8"/>
  <c r="H29" i="8"/>
  <c r="G29" i="8"/>
  <c r="F29" i="8"/>
  <c r="E29" i="8"/>
  <c r="D29" i="8"/>
  <c r="C29" i="8"/>
  <c r="J27" i="8"/>
  <c r="I27" i="8"/>
  <c r="H27" i="8"/>
  <c r="G27" i="8"/>
  <c r="F27" i="8"/>
  <c r="E27" i="8"/>
  <c r="D27" i="8"/>
  <c r="C27" i="8"/>
  <c r="J25" i="8"/>
  <c r="I25" i="8"/>
  <c r="G25" i="8"/>
  <c r="F25" i="8"/>
  <c r="E25" i="8"/>
  <c r="D25" i="8"/>
  <c r="C25" i="8"/>
  <c r="J23" i="8"/>
  <c r="I23" i="8"/>
  <c r="H23" i="8"/>
  <c r="G23" i="8"/>
  <c r="F23" i="8"/>
  <c r="D23" i="8"/>
  <c r="C23" i="8"/>
  <c r="J18" i="8"/>
  <c r="I18" i="8"/>
  <c r="H18" i="8"/>
  <c r="G18" i="8"/>
  <c r="E18" i="8"/>
  <c r="D18" i="8"/>
  <c r="J16" i="8"/>
  <c r="H16" i="8"/>
  <c r="G16" i="8"/>
  <c r="F16" i="8"/>
  <c r="E16" i="8"/>
  <c r="D16" i="8"/>
  <c r="C16" i="8"/>
  <c r="J14" i="8"/>
  <c r="I14" i="8"/>
  <c r="H14" i="8"/>
  <c r="G14" i="8"/>
  <c r="F14" i="8"/>
  <c r="E14" i="8"/>
  <c r="D14" i="8"/>
  <c r="C14" i="8"/>
  <c r="J12" i="8"/>
  <c r="I12" i="8"/>
  <c r="F12" i="8"/>
  <c r="E12" i="8"/>
  <c r="D12" i="8"/>
  <c r="C12" i="8"/>
  <c r="J10" i="8"/>
  <c r="I10" i="8"/>
  <c r="H10" i="8"/>
  <c r="G10" i="8"/>
  <c r="E10" i="8"/>
  <c r="C10" i="8"/>
  <c r="I58" i="7"/>
  <c r="J58" i="7"/>
  <c r="K58" i="7"/>
  <c r="G58" i="7"/>
  <c r="F58" i="7"/>
  <c r="E58" i="7"/>
  <c r="D58" i="7"/>
  <c r="C58" i="7"/>
  <c r="K57" i="7"/>
  <c r="J57" i="7"/>
  <c r="I57" i="7"/>
  <c r="F57" i="7"/>
  <c r="E57" i="7"/>
  <c r="K52" i="7"/>
  <c r="J52" i="7"/>
  <c r="H52" i="7"/>
  <c r="G52" i="7"/>
  <c r="F52" i="7"/>
  <c r="D52" i="7"/>
  <c r="C52" i="7"/>
  <c r="K48" i="7"/>
  <c r="J48" i="7"/>
  <c r="H48" i="7"/>
  <c r="G48" i="7"/>
  <c r="I49" i="7"/>
  <c r="I50" i="7"/>
  <c r="F48" i="7"/>
  <c r="E48" i="7"/>
  <c r="D48" i="7"/>
  <c r="D49" i="7"/>
  <c r="C50" i="7"/>
  <c r="C49" i="7"/>
  <c r="C48" i="7"/>
  <c r="K46" i="7"/>
  <c r="J46" i="7"/>
  <c r="I46" i="7"/>
  <c r="H46" i="7"/>
  <c r="G46" i="7"/>
  <c r="F46" i="7"/>
  <c r="D46" i="7"/>
  <c r="C46" i="7"/>
  <c r="K33" i="7"/>
  <c r="J33" i="7"/>
  <c r="G33" i="7"/>
  <c r="F33" i="7"/>
  <c r="E33" i="7"/>
  <c r="K31" i="7"/>
  <c r="J31" i="7"/>
  <c r="I31" i="7"/>
  <c r="H31" i="7"/>
  <c r="G31" i="7"/>
  <c r="F31" i="7"/>
  <c r="E31" i="7"/>
  <c r="D31" i="7"/>
  <c r="C31" i="7"/>
  <c r="K30" i="7"/>
  <c r="J30" i="7"/>
  <c r="I30" i="7"/>
  <c r="H30" i="7"/>
  <c r="G30" i="7"/>
  <c r="F30" i="7"/>
  <c r="E30" i="7"/>
  <c r="D30" i="7"/>
  <c r="C30" i="7"/>
  <c r="K29" i="7"/>
  <c r="J29" i="7"/>
  <c r="I29" i="7"/>
  <c r="H29" i="7"/>
  <c r="G29" i="7"/>
  <c r="F29" i="7"/>
  <c r="E29" i="7"/>
  <c r="D29" i="7"/>
  <c r="C29" i="7"/>
  <c r="K28" i="7"/>
  <c r="J28" i="7"/>
  <c r="I28" i="7"/>
  <c r="H28" i="7"/>
  <c r="G28" i="7"/>
  <c r="F28" i="7"/>
  <c r="E28" i="7"/>
  <c r="D28" i="7"/>
  <c r="C28" i="7"/>
  <c r="K27" i="7"/>
  <c r="J27" i="7"/>
  <c r="I27" i="7"/>
  <c r="H27" i="7"/>
  <c r="G27" i="7"/>
  <c r="F27" i="7"/>
  <c r="E27" i="7"/>
  <c r="D27" i="7"/>
  <c r="C27" i="7"/>
  <c r="F23" i="7"/>
  <c r="G23" i="7"/>
  <c r="H24" i="7"/>
  <c r="G24" i="7"/>
  <c r="F24" i="7"/>
  <c r="H25" i="7"/>
  <c r="G25" i="7"/>
  <c r="F25" i="7"/>
  <c r="H23" i="7"/>
  <c r="I25" i="7"/>
  <c r="I24" i="7"/>
  <c r="I23" i="7"/>
  <c r="I22" i="7"/>
  <c r="D22" i="7"/>
  <c r="C23" i="7"/>
  <c r="C22" i="7"/>
  <c r="K21" i="7"/>
  <c r="J21" i="7"/>
  <c r="G21" i="7"/>
  <c r="F21" i="7"/>
  <c r="E21" i="7"/>
  <c r="D21" i="7"/>
  <c r="C21" i="7"/>
  <c r="D19" i="7"/>
  <c r="J19" i="7"/>
  <c r="K19" i="7"/>
  <c r="I19" i="7"/>
  <c r="H19" i="7"/>
  <c r="G19" i="7"/>
  <c r="F19" i="7"/>
  <c r="K18" i="7"/>
  <c r="J18" i="7"/>
  <c r="I18" i="7"/>
  <c r="H18" i="7"/>
  <c r="G18" i="7"/>
  <c r="E18" i="7"/>
  <c r="C18" i="7"/>
  <c r="F14" i="6"/>
  <c r="E14" i="6"/>
  <c r="D14" i="6"/>
  <c r="C14" i="6"/>
  <c r="F13" i="6"/>
  <c r="E13" i="6"/>
  <c r="D13" i="6"/>
  <c r="C13" i="6"/>
  <c r="F11" i="6"/>
  <c r="E11" i="6"/>
  <c r="D11" i="6"/>
  <c r="C11" i="6"/>
  <c r="F10" i="6"/>
  <c r="E10" i="6"/>
  <c r="D10" i="6"/>
  <c r="C10" i="6"/>
  <c r="F19" i="5"/>
  <c r="E19" i="5"/>
  <c r="D19" i="5"/>
  <c r="C19" i="5"/>
  <c r="F18" i="5"/>
  <c r="E18" i="5"/>
  <c r="D18" i="5"/>
  <c r="C18" i="5"/>
  <c r="F17" i="5"/>
  <c r="E17" i="5"/>
  <c r="D17" i="5"/>
  <c r="C17" i="5"/>
  <c r="F15" i="5"/>
  <c r="E15" i="5"/>
  <c r="D15" i="5"/>
  <c r="C15" i="5"/>
  <c r="F14" i="5"/>
  <c r="E14" i="5"/>
  <c r="D14" i="5"/>
  <c r="C14" i="5"/>
  <c r="F12" i="5"/>
  <c r="E12" i="5"/>
  <c r="D12" i="5"/>
  <c r="C12" i="5"/>
  <c r="F11" i="5"/>
  <c r="E11" i="5"/>
  <c r="D11" i="5"/>
  <c r="C11" i="5"/>
  <c r="F18" i="4"/>
  <c r="E18" i="4"/>
  <c r="D18" i="4"/>
  <c r="C18" i="4"/>
  <c r="F17" i="4"/>
  <c r="E17" i="4"/>
  <c r="D17" i="4"/>
  <c r="C17" i="4"/>
  <c r="F16" i="4"/>
  <c r="E16" i="4"/>
  <c r="D16" i="4"/>
  <c r="C16" i="4"/>
  <c r="F14" i="4"/>
  <c r="E14" i="4"/>
  <c r="D14" i="4"/>
  <c r="C14" i="4"/>
  <c r="E13" i="4"/>
  <c r="D13" i="4"/>
  <c r="C13" i="4"/>
  <c r="F11" i="4"/>
  <c r="F10" i="4"/>
  <c r="E11" i="4"/>
  <c r="E10" i="4"/>
  <c r="D11" i="4"/>
  <c r="D10" i="4"/>
  <c r="C11" i="4"/>
  <c r="C10" i="4"/>
  <c r="F12" i="2"/>
  <c r="F11" i="2"/>
  <c r="F10" i="2"/>
  <c r="E12" i="2"/>
  <c r="E11" i="2"/>
  <c r="E10" i="2"/>
  <c r="D12" i="2"/>
  <c r="D11" i="2"/>
  <c r="D10" i="2"/>
  <c r="C12" i="2"/>
  <c r="C11" i="2"/>
  <c r="C10" i="2"/>
  <c r="F25" i="1"/>
  <c r="F24" i="1"/>
  <c r="F23" i="1"/>
  <c r="E25" i="1"/>
  <c r="E24" i="1"/>
  <c r="E23" i="1"/>
  <c r="D25" i="1"/>
  <c r="D24" i="1"/>
  <c r="D23" i="1"/>
  <c r="C25" i="1"/>
  <c r="C24" i="1"/>
  <c r="C23" i="1"/>
  <c r="F21" i="1"/>
  <c r="E21" i="1"/>
  <c r="D21" i="1"/>
  <c r="C21" i="1"/>
  <c r="F20" i="1"/>
  <c r="E20" i="1"/>
  <c r="D20" i="1"/>
  <c r="C20" i="1"/>
  <c r="D18" i="1"/>
  <c r="C18" i="1"/>
  <c r="E17" i="1"/>
  <c r="D17" i="1"/>
  <c r="C17" i="1"/>
  <c r="D14" i="14" l="1"/>
  <c r="K14" i="14"/>
  <c r="I29" i="8"/>
  <c r="I16" i="8"/>
  <c r="D31" i="8"/>
  <c r="C31" i="8"/>
  <c r="F14" i="14" l="1"/>
  <c r="J14" i="14"/>
  <c r="G14" i="14"/>
  <c r="H14" i="14"/>
  <c r="C58" i="13"/>
  <c r="C55" i="13"/>
  <c r="C54" i="13"/>
  <c r="C52" i="13"/>
  <c r="C51" i="13"/>
  <c r="C50" i="13"/>
  <c r="C47" i="13"/>
  <c r="C46" i="13"/>
  <c r="C33" i="13"/>
  <c r="C28" i="13"/>
  <c r="C14" i="13"/>
  <c r="E17" i="12"/>
  <c r="E16" i="12"/>
  <c r="C14" i="12"/>
  <c r="F15" i="12"/>
  <c r="E8" i="12"/>
  <c r="F21" i="11"/>
  <c r="F20" i="11"/>
  <c r="C273" i="10" l="1"/>
  <c r="C261" i="10"/>
  <c r="C252" i="10"/>
  <c r="C247" i="10"/>
  <c r="C245" i="10"/>
  <c r="C243" i="10"/>
  <c r="C242" i="10"/>
  <c r="C239" i="10"/>
  <c r="C237" i="10"/>
  <c r="C235" i="10"/>
  <c r="C142" i="10"/>
  <c r="C134" i="10"/>
  <c r="C106" i="10"/>
  <c r="C92" i="10"/>
  <c r="C91" i="10"/>
  <c r="C79" i="10"/>
  <c r="C68" i="10"/>
  <c r="C63" i="10"/>
  <c r="C61" i="10"/>
  <c r="C57" i="10"/>
  <c r="C52" i="10"/>
  <c r="C47" i="10"/>
  <c r="C42" i="10"/>
  <c r="C37" i="10"/>
  <c r="C36" i="10"/>
  <c r="C35" i="10"/>
  <c r="C31" i="10"/>
  <c r="C29" i="10"/>
  <c r="C28" i="10"/>
  <c r="C26" i="10"/>
  <c r="C20" i="10"/>
  <c r="C17" i="10"/>
  <c r="J20" i="9" l="1"/>
  <c r="J19" i="9"/>
  <c r="J18" i="9"/>
  <c r="I20" i="9"/>
  <c r="H20" i="9"/>
  <c r="G20" i="9"/>
  <c r="F20" i="9"/>
  <c r="F19" i="9"/>
  <c r="F18" i="9"/>
  <c r="E20" i="9"/>
  <c r="E19" i="9"/>
  <c r="E18" i="9"/>
  <c r="D19" i="9"/>
  <c r="D18" i="9"/>
  <c r="C19" i="9"/>
  <c r="L14" i="9"/>
  <c r="G14" i="9"/>
  <c r="J12" i="9"/>
  <c r="J11" i="9"/>
  <c r="J10" i="9"/>
  <c r="I12" i="9"/>
  <c r="H12" i="9"/>
  <c r="H11" i="9"/>
  <c r="H10" i="9"/>
  <c r="G12" i="9"/>
  <c r="G11" i="9"/>
  <c r="G10" i="9"/>
  <c r="F12" i="9"/>
  <c r="E12" i="9"/>
  <c r="F18" i="8" l="1"/>
  <c r="C18" i="8"/>
  <c r="H25" i="8"/>
  <c r="E23" i="8"/>
  <c r="H12" i="8"/>
  <c r="G12" i="8"/>
  <c r="F10" i="8"/>
  <c r="D10" i="8"/>
  <c r="H58" i="7" l="1"/>
  <c r="H57" i="7"/>
  <c r="G57" i="7"/>
  <c r="D57" i="7"/>
  <c r="C57" i="7"/>
  <c r="I52" i="7" l="1"/>
  <c r="E52" i="7"/>
  <c r="K50" i="7"/>
  <c r="J50" i="7"/>
  <c r="H50" i="7"/>
  <c r="G50" i="7"/>
  <c r="F50" i="7"/>
  <c r="E50" i="7"/>
  <c r="D50" i="7"/>
  <c r="K49" i="7"/>
  <c r="J49" i="7"/>
  <c r="I48" i="7"/>
  <c r="H49" i="7"/>
  <c r="G49" i="7"/>
  <c r="F49" i="7"/>
  <c r="E49" i="7"/>
  <c r="E46" i="7"/>
  <c r="C33" i="7" l="1"/>
  <c r="I33" i="7"/>
  <c r="H33" i="7"/>
  <c r="D33" i="7"/>
  <c r="C25" i="7"/>
  <c r="K25" i="7"/>
  <c r="J25" i="7"/>
  <c r="E25" i="7"/>
  <c r="D25" i="7"/>
  <c r="K24" i="7"/>
  <c r="J24" i="7"/>
  <c r="E24" i="7"/>
  <c r="D24" i="7"/>
  <c r="K23" i="7"/>
  <c r="J23" i="7"/>
  <c r="E23" i="7"/>
  <c r="D23" i="7"/>
  <c r="K22" i="7"/>
  <c r="J22" i="7"/>
  <c r="H22" i="7"/>
  <c r="G22" i="7"/>
  <c r="F22" i="7"/>
  <c r="E22" i="7"/>
  <c r="C24" i="7"/>
  <c r="I21" i="7"/>
  <c r="H21" i="7"/>
  <c r="E19" i="7"/>
  <c r="C19" i="7"/>
  <c r="F18" i="7"/>
  <c r="D18" i="7"/>
  <c r="F13" i="4" l="1"/>
  <c r="F18" i="1" l="1"/>
  <c r="E18" i="1"/>
  <c r="F17" i="1"/>
</calcChain>
</file>

<file path=xl/sharedStrings.xml><?xml version="1.0" encoding="utf-8"?>
<sst xmlns="http://schemas.openxmlformats.org/spreadsheetml/2006/main" count="933" uniqueCount="550">
  <si>
    <t>Приложение № 1</t>
  </si>
  <si>
    <t>Таблица 1</t>
  </si>
  <si>
    <t>Должностные оклады руководящих работников</t>
  </si>
  <si>
    <t>№</t>
  </si>
  <si>
    <t>Наименование должности и</t>
  </si>
  <si>
    <t>Должностной оклад (в рублях)</t>
  </si>
  <si>
    <t>п/п</t>
  </si>
  <si>
    <t>требования к квалификации</t>
  </si>
  <si>
    <t>Группа по оплате труда руководителей</t>
  </si>
  <si>
    <t>I</t>
  </si>
  <si>
    <t>II</t>
  </si>
  <si>
    <t>III</t>
  </si>
  <si>
    <t>IV</t>
  </si>
  <si>
    <t>Директор учреждения, имеющий:</t>
  </si>
  <si>
    <t>высшую квалификационную категорию</t>
  </si>
  <si>
    <t>первую квалификационную категорию</t>
  </si>
  <si>
    <t>Руководитель (заведующий, начальник, директор, управляющий) структурного подразделения учреждения, имеющий:</t>
  </si>
  <si>
    <t>Главные специалисты (главный бухгалтер, главный инженер, главный методист и др.)</t>
  </si>
  <si>
    <r>
      <t>общеобразовательных школ, специальных (коррекционных) общеобразовательных школ-интернатов, специальных общеобразовательных школ и специальных (коррекционных) общеобразовательных школ для детей и подростков с ограниченными возможностями здоровья,</t>
    </r>
    <r>
      <rPr>
        <sz val="12"/>
        <color theme="1"/>
        <rFont val="Times New Roman"/>
        <family val="1"/>
        <charset val="204"/>
      </rPr>
      <t xml:space="preserve"> совершивших общественно опасные деяния</t>
    </r>
  </si>
  <si>
    <t>Рузского муниципального района</t>
  </si>
  <si>
    <t xml:space="preserve">общеобразовательных школ-интернатов начального общего, основного общего и сред-него (полного) общего образования, в том числе с углубленным изучением отдельных предметов, гимназий-интернатов, лицеев-интернатов, общеобразовательных школ-интернатов с первоначальной летной подготовкой, специальных (коррекционных) </t>
  </si>
  <si>
    <t>Таблица 2</t>
  </si>
  <si>
    <t xml:space="preserve">    № п/п</t>
  </si>
  <si>
    <t xml:space="preserve">Наименование должности </t>
  </si>
  <si>
    <t>и требования к квалификации</t>
  </si>
  <si>
    <t>Таблица 3</t>
  </si>
  <si>
    <t>Коэффициент группы</t>
  </si>
  <si>
    <t xml:space="preserve"> п/п</t>
  </si>
  <si>
    <t xml:space="preserve">высшую квалификационную категорию </t>
  </si>
  <si>
    <t xml:space="preserve">первую квалификационную категорию </t>
  </si>
  <si>
    <t>Таблица 4</t>
  </si>
  <si>
    <t xml:space="preserve">Коэффициент группы </t>
  </si>
  <si>
    <t>Наименование должности</t>
  </si>
  <si>
    <t>и требования квалификации</t>
  </si>
  <si>
    <t>Таблица 5</t>
  </si>
  <si>
    <t>Директор (начальник, заведующий) учреждения, имеющий:</t>
  </si>
  <si>
    <t>Заместитель директора (начальника, заведующего) учреждения, директор филиала, старший мастер, имеющий:</t>
  </si>
  <si>
    <t xml:space="preserve">          Таблица 6</t>
  </si>
  <si>
    <t>Таблица 7</t>
  </si>
  <si>
    <t>Приложение № 2</t>
  </si>
  <si>
    <t>Ставки</t>
  </si>
  <si>
    <t>заработной платы (должностные оклады) педагогических</t>
  </si>
  <si>
    <t>Таблица 1</t>
  </si>
  <si>
    <t xml:space="preserve">N п/п </t>
  </si>
  <si>
    <t>от 0</t>
  </si>
  <si>
    <t>до 3</t>
  </si>
  <si>
    <t xml:space="preserve">лет  </t>
  </si>
  <si>
    <t>от 3</t>
  </si>
  <si>
    <t>до 5</t>
  </si>
  <si>
    <t>от 5</t>
  </si>
  <si>
    <t>до 10</t>
  </si>
  <si>
    <t>от 10</t>
  </si>
  <si>
    <t>до 15</t>
  </si>
  <si>
    <t>от 15</t>
  </si>
  <si>
    <t>до 20</t>
  </si>
  <si>
    <t xml:space="preserve">лет   </t>
  </si>
  <si>
    <t xml:space="preserve">II        </t>
  </si>
  <si>
    <t>квали-фика-</t>
  </si>
  <si>
    <t xml:space="preserve">кате-гория </t>
  </si>
  <si>
    <t xml:space="preserve">I         </t>
  </si>
  <si>
    <t xml:space="preserve">1.1.  </t>
  </si>
  <si>
    <t>1.1.1.</t>
  </si>
  <si>
    <t>1.1.2.</t>
  </si>
  <si>
    <t xml:space="preserve">Старший воспитатель, при стаже работы в должности воспитателя не менее 2 лет                 </t>
  </si>
  <si>
    <t xml:space="preserve">1.2.  </t>
  </si>
  <si>
    <t>1.2.1.</t>
  </si>
  <si>
    <t>1.2.2.</t>
  </si>
  <si>
    <t>1.2.3.</t>
  </si>
  <si>
    <t>1.2.4.</t>
  </si>
  <si>
    <t>1.2.5.</t>
  </si>
  <si>
    <t xml:space="preserve">1.3.  </t>
  </si>
  <si>
    <t>1.3.1.</t>
  </si>
  <si>
    <t>1.3.2.</t>
  </si>
  <si>
    <t>1.3.3.</t>
  </si>
  <si>
    <t>1.3.4.</t>
  </si>
  <si>
    <t>1.3.5.</t>
  </si>
  <si>
    <t xml:space="preserve">1.4.  </t>
  </si>
  <si>
    <t>1.4.1.</t>
  </si>
  <si>
    <t xml:space="preserve">Преподаватель                  </t>
  </si>
  <si>
    <t xml:space="preserve">1.5.  </t>
  </si>
  <si>
    <t>1.5.1.</t>
  </si>
  <si>
    <t>1.5.2.</t>
  </si>
  <si>
    <t>1.5.3.</t>
  </si>
  <si>
    <t>1.5.4.</t>
  </si>
  <si>
    <t xml:space="preserve">1.6.  </t>
  </si>
  <si>
    <t>1.6.1.</t>
  </si>
  <si>
    <t>1.6.2.</t>
  </si>
  <si>
    <t>1.6.3.</t>
  </si>
  <si>
    <t>1.6.4.</t>
  </si>
  <si>
    <t xml:space="preserve">2. Педагогические работники, имеющие высшее профессиональное образование с квалификацией "Бакалавр", незаконченное высшее профессиональное образование, среднее профессиональное образование:             </t>
  </si>
  <si>
    <t xml:space="preserve">2.1.  </t>
  </si>
  <si>
    <t>2.1.1.</t>
  </si>
  <si>
    <t xml:space="preserve">2.2.  </t>
  </si>
  <si>
    <t>2.2.1.</t>
  </si>
  <si>
    <t xml:space="preserve">Учитель, воспитатель в группе продленного дня, социальный  педагог                        </t>
  </si>
  <si>
    <t>2.2.2.</t>
  </si>
  <si>
    <t>2.2.3.</t>
  </si>
  <si>
    <t xml:space="preserve">2.3.  </t>
  </si>
  <si>
    <t>2.3.1.</t>
  </si>
  <si>
    <t xml:space="preserve">2.4.  </t>
  </si>
  <si>
    <t>2.4.1.</t>
  </si>
  <si>
    <t>2.4.2.</t>
  </si>
  <si>
    <t xml:space="preserve">2.5.  </t>
  </si>
  <si>
    <t>2.5.1.</t>
  </si>
  <si>
    <t>2.5.2.</t>
  </si>
  <si>
    <t xml:space="preserve">Должности педагогических    работников                </t>
  </si>
  <si>
    <t xml:space="preserve">Размер ставок заработной платы (должностных окладов) по квалификационным категориям, в рублях                    </t>
  </si>
  <si>
    <t xml:space="preserve">Размер ставок заработной платы (должностных окладов) по стажу   педагогической работы (работы по специальности), в рублях                  </t>
  </si>
  <si>
    <t xml:space="preserve">1. Педагогические работники, имеющие высшее профессиональное образование с квалификацией  «Дипломированный специалист» или «Магистр»:       </t>
  </si>
  <si>
    <t xml:space="preserve">ционная   </t>
  </si>
  <si>
    <t xml:space="preserve">Высшая    </t>
  </si>
  <si>
    <t>Свыше</t>
  </si>
  <si>
    <t xml:space="preserve">Учитель, воспитатель в группе продленного дня, социальный  педагог                        
 </t>
  </si>
  <si>
    <t xml:space="preserve">Учитель, учитель-дефектолог, учитель-логопед, логопед, концертмейстер, воспитатель, социальный педагог, музыкальный руководитель, инструктор по физической культуре, педагог дополнительного образования    
</t>
  </si>
  <si>
    <t xml:space="preserve">Учитель-дефектолог, учитель-логопед, логопед       
</t>
  </si>
  <si>
    <t xml:space="preserve">Мастер производственного обучения, старший воспитатель    </t>
  </si>
  <si>
    <t xml:space="preserve">Учитель, воспитатель в группе  продленного дня, социальный педагог                        
 </t>
  </si>
  <si>
    <t xml:space="preserve">Воспитатель, концертмейстер, музыкальный руководитель, старший вожатый,  педагог-организатор, педагог  дополнительного образования,   инструктор по труду, инструктор
по физической культуре         
</t>
  </si>
  <si>
    <t xml:space="preserve">Преподаватель-организатор  (основ безопасности            
жизнедеятельности)             
      </t>
  </si>
  <si>
    <t xml:space="preserve">Учитель-дефектолог,  учитель-логопед, логопед,      
воспитатель, концертмейстер,  музыкальный руководитель, старший вожатый,    педагог-организатор, педагог дополнительного образования,   инструктор по труду, инструктор
по физической культуре    
          </t>
  </si>
  <si>
    <t xml:space="preserve">Преподаватель-организатор (основ безопасности            
жизнедеятельности)             
   </t>
  </si>
  <si>
    <t xml:space="preserve">Мастер производственного  обучения, старший воспитатель     </t>
  </si>
  <si>
    <t xml:space="preserve">Преподаватель (музыкальных дисциплин, имеющий высшее музыкальное образование)            </t>
  </si>
  <si>
    <t xml:space="preserve">Преподаватель-организатор (основ безопасности            
жизнедеятельности),   руководитель физического       
воспитания                     
</t>
  </si>
  <si>
    <t xml:space="preserve">Мастер производственного  обучения, старший воспитатель, старший педагог дополнительного
образования                    
</t>
  </si>
  <si>
    <t xml:space="preserve">Учитель, учитель-дефектолог, учитель-логопед, логопед,  преподаватель, воспитатель, социаль-ный педагог, концертмейстер, музыкальный руководитель, старший вожатый, педагог-организатор, педагог дополнительного образова-ния, инструктор по труду, инструктор по физической культуре         
     </t>
  </si>
  <si>
    <t xml:space="preserve">Преподаватель (музыкальных  дисциплин, имеющий высшее  музыкальное образование)       
</t>
  </si>
  <si>
    <t xml:space="preserve">Учитель, концертмейстер,  воспитатель, социальный педагог, педагог дополнительного образования, музыкальный руководитель,      
инструктор по физической культуре                       
</t>
  </si>
  <si>
    <t xml:space="preserve">Воспитатель, концертмейстер, педагог дополни-тельного образования, музыкальный руководи-тель, старший вожатый, педагог-организатор, инструктор по труду, инструктор по        
физической культуре            
</t>
  </si>
  <si>
    <t xml:space="preserve">Преподаватель-организатор (основ безопасности            
жизнедеятельности), мастер  производственного обучения     
</t>
  </si>
  <si>
    <t xml:space="preserve">Учитель, преподаватель,  воспитатель, социаль-ный  педагог, концертмейстер,   педагог допол-нительного  образования, музыкальный       
руководитель, старший вожатый, педагог-организатор, инструктор по труду, инструктор по        
физической культуре            
    </t>
  </si>
  <si>
    <t xml:space="preserve">Преподаватель-организатор (основ безопасности            
жизнедеятельности),   руководитель физического       
воспитания, мастер  производственного обучения     
</t>
  </si>
  <si>
    <t xml:space="preserve">от 0  </t>
  </si>
  <si>
    <t xml:space="preserve">от 2  </t>
  </si>
  <si>
    <t xml:space="preserve">до 4  </t>
  </si>
  <si>
    <t xml:space="preserve">от 4  </t>
  </si>
  <si>
    <t xml:space="preserve">до 6  </t>
  </si>
  <si>
    <t xml:space="preserve">от 6  </t>
  </si>
  <si>
    <t>свыше</t>
  </si>
  <si>
    <t>10 лет</t>
  </si>
  <si>
    <t xml:space="preserve">гория </t>
  </si>
  <si>
    <t xml:space="preserve">Педагог-психолог       </t>
  </si>
  <si>
    <t xml:space="preserve">2. Педагогические работники, имеющие высшее профессиональное образование с квалификацией  «Бакалавр», незаконченное высшее профессиональное образование, среднее профессиональное образование:                                                                               </t>
  </si>
  <si>
    <t xml:space="preserve">Размер ставок заработной платы  
(должностных окладов) по        
квалификационным категориям,     в рублях                          
</t>
  </si>
  <si>
    <t xml:space="preserve">Должности              
педагогических         
работников             
</t>
  </si>
  <si>
    <t xml:space="preserve">№ п/п </t>
  </si>
  <si>
    <t xml:space="preserve">1. Педагогические работники, имеющие высшее профессиональное образование с квалификацией   «Дипломированный специалист» или «Магистр»:                                                </t>
  </si>
  <si>
    <t xml:space="preserve">квалифи-кацион-ная кате-  </t>
  </si>
  <si>
    <t xml:space="preserve">до 2    лет   </t>
  </si>
  <si>
    <t xml:space="preserve">до 4   лет   </t>
  </si>
  <si>
    <t xml:space="preserve">до 6    лет   </t>
  </si>
  <si>
    <t xml:space="preserve">до 10    лет   </t>
  </si>
  <si>
    <t xml:space="preserve">Размер ставок заработной платы    
(должностных окладов) по стажу    
педагогической работы (работы по  специальности), в рублях     
  </t>
  </si>
  <si>
    <t xml:space="preserve">№ </t>
  </si>
  <si>
    <t xml:space="preserve">п/п </t>
  </si>
  <si>
    <t>от 1</t>
  </si>
  <si>
    <t>до 2</t>
  </si>
  <si>
    <t xml:space="preserve">до 3  </t>
  </si>
  <si>
    <t xml:space="preserve">от 3  </t>
  </si>
  <si>
    <t xml:space="preserve">до 5  </t>
  </si>
  <si>
    <t xml:space="preserve">от 5  </t>
  </si>
  <si>
    <t>от 6</t>
  </si>
  <si>
    <t>до 8</t>
  </si>
  <si>
    <t>от 8</t>
  </si>
  <si>
    <t>12 лет</t>
  </si>
  <si>
    <t xml:space="preserve">Методист            </t>
  </si>
  <si>
    <t>-</t>
  </si>
  <si>
    <t xml:space="preserve">Инструктор-методист </t>
  </si>
  <si>
    <t>1.1.3.</t>
  </si>
  <si>
    <t>1.4.2.</t>
  </si>
  <si>
    <t>1.4.3.</t>
  </si>
  <si>
    <t xml:space="preserve">до  12 </t>
  </si>
  <si>
    <t xml:space="preserve">Методист, тьютор &lt;*&gt;
</t>
  </si>
  <si>
    <t xml:space="preserve">Размер ставок заработной платы (должностных окладов)
по стажу педагогической работы (работы по           
специальности), в рублях                             
</t>
  </si>
  <si>
    <t>квалифи-кацион-</t>
  </si>
  <si>
    <t xml:space="preserve">ная кате-гория  </t>
  </si>
  <si>
    <t>1.</t>
  </si>
  <si>
    <t xml:space="preserve">Педагогические работники, имеющие высшее профессиональное образование с квалификацией «Дипломированный специалист» или «Магистр»:                                                                                </t>
  </si>
  <si>
    <t xml:space="preserve">Должности педагогических работников   </t>
  </si>
  <si>
    <t xml:space="preserve">Старший методист, старший  инструктор-методист  
</t>
  </si>
  <si>
    <t xml:space="preserve">Старший методист, старший иструктор-методист, старший педагог дополнительного   образования           </t>
  </si>
  <si>
    <t xml:space="preserve">Размер ставок заработной платы (должностных окладов) по квалификацион-ным категориям, в рублях                        </t>
  </si>
  <si>
    <t>Должностные оклады</t>
  </si>
  <si>
    <t>(учебно-вспомогательного персонала)</t>
  </si>
  <si>
    <t>№ п/п</t>
  </si>
  <si>
    <t>Наименование должностей</t>
  </si>
  <si>
    <t>Руководители</t>
  </si>
  <si>
    <t>1.1.</t>
  </si>
  <si>
    <t>Заведующий камерой хранения</t>
  </si>
  <si>
    <t>1.2.</t>
  </si>
  <si>
    <t>Заведующий архивом:</t>
  </si>
  <si>
    <t>при объеме документооборота до 25 тысяч документов в год и соответствующем количестве единиц хранения</t>
  </si>
  <si>
    <t>при объеме документооборота свыше 25 тысяч документов в год и соответствующем количестве единиц хранения</t>
  </si>
  <si>
    <t>1.3.</t>
  </si>
  <si>
    <t>Заведующий бюро пропусков</t>
  </si>
  <si>
    <t>при пропускном режиме до 100 человек в день</t>
  </si>
  <si>
    <t>при пропускном режиме свыше 100 человек в день</t>
  </si>
  <si>
    <t>1.4.</t>
  </si>
  <si>
    <t>первой группе по оплате труда руководителей</t>
  </si>
  <si>
    <t>второй группе по оплате труда руководителей</t>
  </si>
  <si>
    <t>третьей группе по оплате труда руководителей</t>
  </si>
  <si>
    <t>1.5.</t>
  </si>
  <si>
    <t>Заведующий канцелярией</t>
  </si>
  <si>
    <t xml:space="preserve">при объеме документооборота до 25 тысяч документов в год </t>
  </si>
  <si>
    <t>при объеме документооборота свыше 25 тысяч документов в год</t>
  </si>
  <si>
    <t>1.6.</t>
  </si>
  <si>
    <t>Заведующий комнатой отдыха</t>
  </si>
  <si>
    <t>1.7.</t>
  </si>
  <si>
    <t>Заведующий копировально-множительным бюро</t>
  </si>
  <si>
    <t>1.8.</t>
  </si>
  <si>
    <t>Заведующий машинописным бюро</t>
  </si>
  <si>
    <t>без предъявления требований к стажу работы</t>
  </si>
  <si>
    <t>стаж работы в машинописном бюро не менее 2 лет</t>
  </si>
  <si>
    <t>1.9.</t>
  </si>
  <si>
    <t>Заведующий складом</t>
  </si>
  <si>
    <t>1.10.</t>
  </si>
  <si>
    <t>Заведующий центральным складом</t>
  </si>
  <si>
    <t>1.11.</t>
  </si>
  <si>
    <t>Заведующий фотолабораторией</t>
  </si>
  <si>
    <t>1.12.</t>
  </si>
  <si>
    <t>Заведующий хозяйством</t>
  </si>
  <si>
    <t>1.13.</t>
  </si>
  <si>
    <t>Заведующий экспедицией</t>
  </si>
  <si>
    <t>1.14.</t>
  </si>
  <si>
    <t>Комендант</t>
  </si>
  <si>
    <t>1.15.</t>
  </si>
  <si>
    <t xml:space="preserve">четвертой группе по оплате труда руководителей </t>
  </si>
  <si>
    <t>1.16.</t>
  </si>
  <si>
    <t>четвертой группе по оплате труда руководителей</t>
  </si>
  <si>
    <t>1.17.</t>
  </si>
  <si>
    <t>1.18.</t>
  </si>
  <si>
    <t>1.19.</t>
  </si>
  <si>
    <t>1.20.</t>
  </si>
  <si>
    <t>1.21.</t>
  </si>
  <si>
    <t>1.22.</t>
  </si>
  <si>
    <t>1.23.</t>
  </si>
  <si>
    <t>Заведующий костюмерной</t>
  </si>
  <si>
    <t>1.24.</t>
  </si>
  <si>
    <t>1.25.</t>
  </si>
  <si>
    <t>Начальник вспомогательного отдела (кадров, спецотдела, котельной) в учреждении, отнесенном к:</t>
  </si>
  <si>
    <t>Специалисты</t>
  </si>
  <si>
    <t>2.1.</t>
  </si>
  <si>
    <t>Администратор (включая старшего):</t>
  </si>
  <si>
    <t>при выполнении должностных обязанностей старшего администратора при стаже работы свыше 3 лет</t>
  </si>
  <si>
    <t xml:space="preserve">администратор при стаже работы от 2 до 3 лет </t>
  </si>
  <si>
    <t>администратор при стаже работы менее 2 лет</t>
  </si>
  <si>
    <t>2.2.</t>
  </si>
  <si>
    <t>Бухгалтер:</t>
  </si>
  <si>
    <t xml:space="preserve">ведущий </t>
  </si>
  <si>
    <t>I категории</t>
  </si>
  <si>
    <t>II категории</t>
  </si>
  <si>
    <t>бухгалтер</t>
  </si>
  <si>
    <t>2.3.</t>
  </si>
  <si>
    <t>Бухгалтер-ревизор:</t>
  </si>
  <si>
    <t xml:space="preserve">II категории </t>
  </si>
  <si>
    <t>бухгалтер-ревизор</t>
  </si>
  <si>
    <t>2.4.</t>
  </si>
  <si>
    <t>Дизайнер (художник-конструктор):</t>
  </si>
  <si>
    <t>ведущий</t>
  </si>
  <si>
    <t>дизайнер (художник-конструктор)</t>
  </si>
  <si>
    <t>2.5.</t>
  </si>
  <si>
    <t>Диспетчер (включая старшего):</t>
  </si>
  <si>
    <t>при выполнении обязанностей старшего диспетчера</t>
  </si>
  <si>
    <t>диспетчер</t>
  </si>
  <si>
    <t>2.6.</t>
  </si>
  <si>
    <t>Документовед:</t>
  </si>
  <si>
    <t xml:space="preserve">ведущий документовед </t>
  </si>
  <si>
    <t>документовед I категории</t>
  </si>
  <si>
    <t>документовед II категории</t>
  </si>
  <si>
    <t>документовед</t>
  </si>
  <si>
    <t>2.7.</t>
  </si>
  <si>
    <t>Инженер:</t>
  </si>
  <si>
    <t>ведущий инженер</t>
  </si>
  <si>
    <t>инженер I категории</t>
  </si>
  <si>
    <t>инженер II категории</t>
  </si>
  <si>
    <t>инженер</t>
  </si>
  <si>
    <t>2.8.</t>
  </si>
  <si>
    <t>Инженер по организации труда:</t>
  </si>
  <si>
    <t>2.9.</t>
  </si>
  <si>
    <t>Инженер по нормированию труда:</t>
  </si>
  <si>
    <t>2.10.</t>
  </si>
  <si>
    <t>2.11.</t>
  </si>
  <si>
    <t>старший инспектор</t>
  </si>
  <si>
    <t xml:space="preserve">инспектор </t>
  </si>
  <si>
    <t>2.12.</t>
  </si>
  <si>
    <t>Конструктор:</t>
  </si>
  <si>
    <t>конструктор</t>
  </si>
  <si>
    <t>2.13.</t>
  </si>
  <si>
    <t>Корректор (включая старшего):</t>
  </si>
  <si>
    <t>старший корректор</t>
  </si>
  <si>
    <t xml:space="preserve">корректор </t>
  </si>
  <si>
    <t>2.14.</t>
  </si>
  <si>
    <t>Математик:</t>
  </si>
  <si>
    <t>математик</t>
  </si>
  <si>
    <t>2.15.</t>
  </si>
  <si>
    <t>Механик:</t>
  </si>
  <si>
    <t>ведущий механик</t>
  </si>
  <si>
    <t xml:space="preserve">механик I категории </t>
  </si>
  <si>
    <t>механик II категории</t>
  </si>
  <si>
    <t>механик</t>
  </si>
  <si>
    <t>2.16.</t>
  </si>
  <si>
    <t>Переводчик:</t>
  </si>
  <si>
    <t>переводчик</t>
  </si>
  <si>
    <t>2.17.</t>
  </si>
  <si>
    <t>Программист:</t>
  </si>
  <si>
    <t>ведущий программист</t>
  </si>
  <si>
    <t>программист</t>
  </si>
  <si>
    <t>2.18.</t>
  </si>
  <si>
    <t>Психолог:</t>
  </si>
  <si>
    <t xml:space="preserve">психолог </t>
  </si>
  <si>
    <t>2.19.</t>
  </si>
  <si>
    <t>Социолог:</t>
  </si>
  <si>
    <t>социолог</t>
  </si>
  <si>
    <t>2.20.</t>
  </si>
  <si>
    <t>Специалист по кадрам:</t>
  </si>
  <si>
    <t>при стаже работы не менее 5 лет</t>
  </si>
  <si>
    <t>при стаже работы не менее 3 лет</t>
  </si>
  <si>
    <t>2.21.</t>
  </si>
  <si>
    <t>Сурдопереводчик:</t>
  </si>
  <si>
    <t>сурдопереводчик</t>
  </si>
  <si>
    <t>2.22.</t>
  </si>
  <si>
    <t>Техник:</t>
  </si>
  <si>
    <t xml:space="preserve">I категории, имеющий стаж работы в должности техника I категории не менее 2 лет </t>
  </si>
  <si>
    <t>I категории без предъявления требований к стажу работы</t>
  </si>
  <si>
    <t>техник II категории</t>
  </si>
  <si>
    <t>техник</t>
  </si>
  <si>
    <t>2.23.</t>
  </si>
  <si>
    <t>Технолог:</t>
  </si>
  <si>
    <t xml:space="preserve">технолог </t>
  </si>
  <si>
    <t>2.24.</t>
  </si>
  <si>
    <t>Товаровед:</t>
  </si>
  <si>
    <t xml:space="preserve">товаровед </t>
  </si>
  <si>
    <t>2.25.</t>
  </si>
  <si>
    <t>Физиолог:</t>
  </si>
  <si>
    <t xml:space="preserve">физиолог </t>
  </si>
  <si>
    <t>2.26.</t>
  </si>
  <si>
    <t>Художник:</t>
  </si>
  <si>
    <t>художник</t>
  </si>
  <si>
    <t>2.27.</t>
  </si>
  <si>
    <t>Эколог (инженер по охране окружающей среды):</t>
  </si>
  <si>
    <t xml:space="preserve">эколог (инженер по охране окружающей среды) </t>
  </si>
  <si>
    <t>2.28.</t>
  </si>
  <si>
    <t>Экономист:</t>
  </si>
  <si>
    <t>экономист</t>
  </si>
  <si>
    <t>2.29.</t>
  </si>
  <si>
    <t>Электроник:</t>
  </si>
  <si>
    <t>электроник</t>
  </si>
  <si>
    <t>2.30.</t>
  </si>
  <si>
    <t>Юрисконсульт:</t>
  </si>
  <si>
    <t>юрисконсульт</t>
  </si>
  <si>
    <t>2.31.</t>
  </si>
  <si>
    <t>Редактор (в том числе научный, технический, художественный):</t>
  </si>
  <si>
    <t>редактор</t>
  </si>
  <si>
    <t>2.32.</t>
  </si>
  <si>
    <t>Выпускающий, младший редактор, корректор</t>
  </si>
  <si>
    <t>Служащие</t>
  </si>
  <si>
    <t>3.1.</t>
  </si>
  <si>
    <t xml:space="preserve">Агент </t>
  </si>
  <si>
    <t>3.2.</t>
  </si>
  <si>
    <t>Архивариус</t>
  </si>
  <si>
    <t>3.3.</t>
  </si>
  <si>
    <t>Дежурный бюро пропусков</t>
  </si>
  <si>
    <t>3.4.</t>
  </si>
  <si>
    <t>Дежурный по выдаче справок (бюро справок), дежурный по залу, дежурный по этажу гостиницы, дежурный по комнате отдыха, дежурный по общежитию</t>
  </si>
  <si>
    <t>3.5.</t>
  </si>
  <si>
    <t xml:space="preserve">Дежурный по режиму </t>
  </si>
  <si>
    <t>высшее профессиональное образование без предъявления требований к стажу работы</t>
  </si>
  <si>
    <t>среднее профессиональное образование и дополнительное профессиональное образование по установленной программе без предъявления требований к стажу работы</t>
  </si>
  <si>
    <t>3.6.</t>
  </si>
  <si>
    <t>Старший дежурный по режиму</t>
  </si>
  <si>
    <t>высшее профессиональное образование и стаж работы в должности дежурного по режиму не менее 2 лет</t>
  </si>
  <si>
    <t xml:space="preserve">среднее профессиональное образование и стаж работы в должности дежурного по режиму не менее 2 лет </t>
  </si>
  <si>
    <t>3.7.</t>
  </si>
  <si>
    <t>Делопроизводитель</t>
  </si>
  <si>
    <t>3.8.</t>
  </si>
  <si>
    <t>3.9.</t>
  </si>
  <si>
    <t>Кассир (включая старшего):</t>
  </si>
  <si>
    <t>старший кассир</t>
  </si>
  <si>
    <t>кассир</t>
  </si>
  <si>
    <t>3.10.</t>
  </si>
  <si>
    <t>Калькулятор</t>
  </si>
  <si>
    <t>3.11.</t>
  </si>
  <si>
    <t>Лаборант (включая старшего):</t>
  </si>
  <si>
    <t>лаборант, исполняющий обязанности старшего лаборанта</t>
  </si>
  <si>
    <t>лаборант</t>
  </si>
  <si>
    <t>3.12.</t>
  </si>
  <si>
    <t>Машинистка:</t>
  </si>
  <si>
    <t xml:space="preserve">машинистка, работающая с иностранным текстом </t>
  </si>
  <si>
    <t xml:space="preserve">машинистка </t>
  </si>
  <si>
    <t>3.13.</t>
  </si>
  <si>
    <t>Младший воспитатель:</t>
  </si>
  <si>
    <t>среднее профессиональное образование без предъявления требований к стажу работы</t>
  </si>
  <si>
    <t>3.14.</t>
  </si>
  <si>
    <t>Оператор диспетчерской службы</t>
  </si>
  <si>
    <t>3.15.</t>
  </si>
  <si>
    <t>Оператор по диспетчерскому обслуживанию лифтов</t>
  </si>
  <si>
    <t>3.16.</t>
  </si>
  <si>
    <t>Паспортист</t>
  </si>
  <si>
    <t>3.17.</t>
  </si>
  <si>
    <t xml:space="preserve">Секретарь, секретарь-машинистка </t>
  </si>
  <si>
    <t>3.18.</t>
  </si>
  <si>
    <t>Секретарь-стенографистка, стенографистка</t>
  </si>
  <si>
    <t>3.19.</t>
  </si>
  <si>
    <t>Секретарь незрячего специалиста:</t>
  </si>
  <si>
    <t>высшее профессиональное образование без предъявления требований к стажу работы или среднее профессиональное образование и стаж работы в должности секретаря незрячего специалиста не менее 5 лет</t>
  </si>
  <si>
    <t>3.20.</t>
  </si>
  <si>
    <t>Секретарь учебной части</t>
  </si>
  <si>
    <t>среднее профессиональное образование в области делопроизводства без предъявления требований к стажу работы или среднее (полное) общее образование и профессиональная подготовка в области делопроизводства без предъявления требований к стажу работы</t>
  </si>
  <si>
    <t>высшее профессиональное образование без предъявления требований к стажу работы или среднее профессиональное образование и стаж работы не менее 3 лет</t>
  </si>
  <si>
    <t>3.21.</t>
  </si>
  <si>
    <t>Статистик</t>
  </si>
  <si>
    <t>3.22.</t>
  </si>
  <si>
    <t xml:space="preserve">Экспедитор по перевозке грузов </t>
  </si>
  <si>
    <t xml:space="preserve">Должност-ные оклады, (в рублях ) </t>
  </si>
  <si>
    <t>2.</t>
  </si>
  <si>
    <t>3.</t>
  </si>
  <si>
    <t>Инспекторы: по кадрам, по контролю за исполнением поручений (включая старших):</t>
  </si>
  <si>
    <t>Приложение № 4</t>
  </si>
  <si>
    <t>Должностные оклады врачебного и среднего медицинского</t>
  </si>
  <si>
    <t>Должностные оклады врачебного и среднего медицинского персонала</t>
  </si>
  <si>
    <t>Должностные оклады, установленные в зависимости от квалификационной категории (в рублях)</t>
  </si>
  <si>
    <t>высшая</t>
  </si>
  <si>
    <t>первая</t>
  </si>
  <si>
    <t>вторая</t>
  </si>
  <si>
    <t>без категории</t>
  </si>
  <si>
    <t>Врач-специалист</t>
  </si>
  <si>
    <t>Зубной врач</t>
  </si>
  <si>
    <t>Фельдшер</t>
  </si>
  <si>
    <t>Инструктор по лечебной физкультуре</t>
  </si>
  <si>
    <t>Медицинская сестра&lt;*&gt;, медицинская сестра по массажу</t>
  </si>
  <si>
    <t>Медицинская сестра, медицинская сестра по массажу</t>
  </si>
  <si>
    <t xml:space="preserve">         Примечание. Оплата труда по должности «Старшая медицинская сестра» осуществляется по должностным окладам, предусмотренным для медицинских сестер, с повышением на 20 процентов.</t>
  </si>
  <si>
    <t xml:space="preserve">         &lt;*&gt; Примечание. Оплата труда по должности «Старшая медицинская сестра» осуществляется по должностным окладам, предусмотренным для медицинских сестер, с повышением на 20 процентов.</t>
  </si>
  <si>
    <t>Руководящие работники</t>
  </si>
  <si>
    <t>первой группе</t>
  </si>
  <si>
    <t>второй группе</t>
  </si>
  <si>
    <t>к другим группам</t>
  </si>
  <si>
    <t>Заведующий филиалом библиотеки, заведующий отделом (сектором) в библиотеке, отнесенной к группе по оплате труда руководителей:</t>
  </si>
  <si>
    <t>третьей группе</t>
  </si>
  <si>
    <t>четвертой группе</t>
  </si>
  <si>
    <t>Главный библиотекарь, главный библиограф, ученый секретарь в библиотеке, отнесенной к группе по оплате труда руководителей:</t>
  </si>
  <si>
    <t xml:space="preserve">четвертой группе </t>
  </si>
  <si>
    <t>Библиотекарь</t>
  </si>
  <si>
    <t>Лектор (экскурсовод)</t>
  </si>
  <si>
    <t>Организатор экскурсий</t>
  </si>
  <si>
    <t>Художник – постановщик</t>
  </si>
  <si>
    <t>Режиссер (дирижер, балетмейстер, хормейстер)</t>
  </si>
  <si>
    <t>Аккомпаниатор</t>
  </si>
  <si>
    <t>Культорганизатор</t>
  </si>
  <si>
    <t>Библиограф</t>
  </si>
  <si>
    <t>Смотритель музейный</t>
  </si>
  <si>
    <t>Приложение № 6</t>
  </si>
  <si>
    <t>Разряды</t>
  </si>
  <si>
    <t>Руководитель любительского объединения, клуба по интересам</t>
  </si>
  <si>
    <t>Тарифные ставки (в рублях)</t>
  </si>
  <si>
    <t xml:space="preserve">Межразрядные тарифные коэффициенты </t>
  </si>
  <si>
    <t>Наименование показателей</t>
  </si>
  <si>
    <t>к Положению "Об оплате труда</t>
  </si>
  <si>
    <t>руботников муниципальных</t>
  </si>
  <si>
    <t>Должностные оклады руководящих работников организаций</t>
  </si>
  <si>
    <t>Заместитель директора организации, имеющий:</t>
  </si>
  <si>
    <t>Руководитель (заведующий, начальник, директор, управляющий) структурного подразделения организации, имеющий:</t>
  </si>
  <si>
    <t>Должностные оклады руководящих работников общеобразовательных организаций</t>
  </si>
  <si>
    <t xml:space="preserve"> по оплате труда руководителей общеобразовательных организаций, реализующих программы начального общего, основного общего, среднего (полного) общего образования, являющихся участниками апробации Модельной методики формирования системы  оплаты труда и стимулирования работников общеобразовательных организаций в Московской области, и их заместителей</t>
  </si>
  <si>
    <t>организации по оплате труда руководителей</t>
  </si>
  <si>
    <t>Коэффициент группы общеобразовательной</t>
  </si>
  <si>
    <t xml:space="preserve">Директор организации, имеющий: </t>
  </si>
  <si>
    <t xml:space="preserve">Заместитель директора организации по административно-хозяйственной части (работе, деятельности), заместитель директора учреждения по безопасности (по организации безопасности, по обеспечению безопасности), по должностным обязанностям которых не производится аттестация на квалификационную категорию руководящей должности </t>
  </si>
  <si>
    <t xml:space="preserve">Заместитель директора организации деятельность которого связана с руководством образовательного процесса, имеющий: </t>
  </si>
  <si>
    <t xml:space="preserve">       Примечание. Должностной оклад директоров организаций, являющихся участниками апробации Модельной методики формирования системы оплаты труда и стимулирования работников общеобразовательных организаций в Московской области, и их заместителей исчисляется исходя из средней заработной платы педагогических работников за часы учебной нагрузки по тарификационному списку, составленному на начало учебного года, увеличенной на коэффициент группы по оплате труда руководителей общеобразовательной организации с учетом уровня квалификации руководителя по результатам аттестации.</t>
  </si>
  <si>
    <t>по оплате труда руководителей общеобразовательных организаций и его заместителей, кроме руководителей и их заместителей, указанных в таблицах 1 и 3</t>
  </si>
  <si>
    <t>Директор организации, имеющий:</t>
  </si>
  <si>
    <t>Коэффициент группы общеобразова-тельной организации по оплате труда руководителей</t>
  </si>
  <si>
    <t>Заместитель директора организации, деятельность которого связана с руководством образовательного процесса, имеющий:</t>
  </si>
  <si>
    <t xml:space="preserve">       Примечание. Должностной оклад директора общеобразовательной организации и его заместителей исчисляется исходя из средней заработной платы педагогических работников за часы учебной нагрузки по тарификационному списку, составленному на начало учебного года, увеличенной на коэффициент группы по оплате труда руководителей общеобразовательной организации с учетом уровня квалификации руководителя по результатам аттестации.</t>
  </si>
  <si>
    <t>Должностные оклады руководящих работников организаций начального профессионального образования и среднего профессионального образования</t>
  </si>
  <si>
    <t xml:space="preserve">        Примечание.  Должностной оклад директора организации начального профессионального образования (учреждения среднего профессионального образования) и его заместителей исчисляются исходя из средней заработной платы мастеров производственного обучения и преподавателей за часы учебной нагрузки по тарификационному списку, составленному на начало учебного года, увеличенной на коэффициент группы по оплате труда руководителей образовательной организации с учетом уровня квалификации руководителя по результатам аттестации.</t>
  </si>
  <si>
    <t xml:space="preserve">        Заместителю директора (начальника, заведующего) организации по административно-хозяйственной части (работе, деятельности), заместителю директора (начальника, заведующего) организации по безопасности (по организации безопасности, по обеспечению безопасности), по должностным обязанностям которых не производится аттестация на квалификационную категорию руководителя, установление должностного оклада осуществляется по строке «первая квалификационная категория» графы соответствующей группы оплаты труда руководителей.</t>
  </si>
  <si>
    <t xml:space="preserve">образовательных организаций для детей-сирот и детей, оставшихся без попечения родителей, образовательных организаций для детей дошкольного и младшего школьного возраста, образовательных организаций дополнительного образования детей, специальных (коррекционных) образовательных организаций для обучающихся, воспитанников с ограниченными возможностями здоровья, кроме указанных в таблице 1 настоящего приложения,  образовательных организаций межшкольных комбинатов, образовательных организаций для детей, нуждающихся в психолого-педагогической и медико-социальной помощи, оздоровительных образовательных организаций санаторного типа для детей, нуждающихся в длительном лечении, руководящих работников, не связанных с образовательным процессом по предоставлению программ общего образования, организаций начального профессионального образования  и среднего профессионального образования  </t>
  </si>
  <si>
    <t>Директор (начальник, заведующий) организации, имеющий:</t>
  </si>
  <si>
    <t>Заместитель директора (начальника, заведующего) организации, директор филиала, старший мастер, имеющий:</t>
  </si>
  <si>
    <t xml:space="preserve">        Примечание. Заместителю директора (начальника, заведующего) организации по административно-хозяйственной части (работе, деятельности), заместителю директора (начальника, заведующего) организации по безопасности (по организации безопасности, по обеспечению безопасности) и руководителю (заведующему, начальнику, директору, управляющему) структурного подразделения организации, по должностным обязанностям которых не производится аттестация на квалификационную категорию руководителя, установление должностного оклада осуществляется по строке «первая квалификационная категория» графы соответствующей группы оплаты труда руководителей.</t>
  </si>
  <si>
    <t>Должностные оклады руководящих работников образовательных организаций дополнительного профессионального образования (повышения квалификации) специалистов</t>
  </si>
  <si>
    <t>работников организаций</t>
  </si>
  <si>
    <t xml:space="preserve">Педагогические работники, работающие в дошкольных группах организаций, реализующих основную общеобразовательную программу дошкольного образования:                                               </t>
  </si>
  <si>
    <t xml:space="preserve">Педагогические работники образовательных организаций для детей, нуждающихся в психолого-педагогической и медико-социальной помощи:                                                                          </t>
  </si>
  <si>
    <t xml:space="preserve">Педагогические работники общеобразовательных организаций:                                             </t>
  </si>
  <si>
    <t xml:space="preserve">Педагогические работники, связанные с реализацией программ общего образования, организаций начального профессионального образования и среднего профессионального образования:                              </t>
  </si>
  <si>
    <t xml:space="preserve">Педагогические работники, работающие в дошкольных группах организаций, реализующих основную общеобразовательную программу дошкольного образования:              </t>
  </si>
  <si>
    <t xml:space="preserve">Педагогические работники, работающие в дошкольных группах организаций, реализующих основную общеобразовательную программу дошкольного образования:                                     </t>
  </si>
  <si>
    <t xml:space="preserve">Педагогические работники общеобразовательных организаций:                                   </t>
  </si>
  <si>
    <t xml:space="preserve">Педагогические работники организаций начального профессионального образования и среднего профессионального образования:                                                             </t>
  </si>
  <si>
    <t>Педагогические работники методических, учебно-методических кабинетов (центров), в том числе в методических и учебно-методических центрах, являющихся структурными подразделениями государственных образовательных организаций высшего профессионального образования и дополнительного профессионального образования (повышения квалификации) специалистов Московской области:</t>
  </si>
  <si>
    <t xml:space="preserve">Педагогические работники, работающие в дошкольных группах организаций, реализующих основную общеобразовательную программу дошкольного образования:                                                    </t>
  </si>
  <si>
    <t xml:space="preserve">Педагогические работники организаций начального профессионального образования и среднего профессионального образования:                                                                                              </t>
  </si>
  <si>
    <t>&lt;*&gt; Кроме тьюторов государственных образовательных организаций высшего профессионального образования и дополнительного профессионального образования (повышения квалификации) специалистов Московской области.</t>
  </si>
  <si>
    <t>Диспетчер образовательной организации</t>
  </si>
  <si>
    <t>Начальник штаба гражданской обороны в организации, отнесенном к:</t>
  </si>
  <si>
    <t xml:space="preserve">Заведующий общежитием в организации, отнесенном к: </t>
  </si>
  <si>
    <t>Старший мастер участка в организации, отнесенном к:</t>
  </si>
  <si>
    <t>Мастер участка в организации, отнесенном к:</t>
  </si>
  <si>
    <t>Заведующий производством (шеф-повар) в организации, отнесенном к:</t>
  </si>
  <si>
    <t>Начальник (заведующий) мастерской в организации, отнесенном к:</t>
  </si>
  <si>
    <t>Заведующий столовой в организации, отнесенном к:</t>
  </si>
  <si>
    <t>Начальник гаража в организации, отнесенном к:</t>
  </si>
  <si>
    <t>Начальник отдела в организации, отнесенном к:</t>
  </si>
  <si>
    <t>Заведующий виварием в организации, отнесенном к:</t>
  </si>
  <si>
    <t xml:space="preserve">занимающих общеотраслевые должности, и служащих организаций </t>
  </si>
  <si>
    <t xml:space="preserve">руководящих работников, специалистов и служащих организаций, </t>
  </si>
  <si>
    <t xml:space="preserve">образовательных организаций </t>
  </si>
  <si>
    <t xml:space="preserve">образовательных организаций     </t>
  </si>
  <si>
    <t xml:space="preserve">к Положению "Об оплате труда   </t>
  </si>
  <si>
    <t xml:space="preserve">руботников муниципальных        </t>
  </si>
  <si>
    <t xml:space="preserve">Приложение № 3                          </t>
  </si>
  <si>
    <t xml:space="preserve">Приложение № 5                          </t>
  </si>
  <si>
    <t>Межразрядные тарифные коэффициенты и тарифные ставки по разрядам тарифной сетки по оплате труда рабочих организаций</t>
  </si>
  <si>
    <t>персонала образовательных организаций</t>
  </si>
  <si>
    <t>общеобразовательных организаций</t>
  </si>
  <si>
    <t>Заведующий структурным подразделением (медицинским кабинетом) в организации, отнесенном к:</t>
  </si>
  <si>
    <t>Заведующий структурным подразделе-нием (медицинским кабинетом) в организации, отнесенном к:</t>
  </si>
  <si>
    <t>персонала иных образовательных организаций</t>
  </si>
  <si>
    <t>Заведующий библиотекой, работающий в организации, отнесенном к группе по оплате труда руководителей:</t>
  </si>
  <si>
    <t>Заведующий библиотекой (библиотечной системой) организации высшего профессионального образования и дополнительного профессионального образования (повышения квалификации) специалистов, имеющего филиалы, институты</t>
  </si>
  <si>
    <t>Заведующий библиотекой организации, не имеющего филиалов, институтов</t>
  </si>
  <si>
    <t>Должностные оклады работников культуры в образовательных организациях</t>
  </si>
  <si>
    <t>9580-12525</t>
  </si>
  <si>
    <t>12525-15185</t>
  </si>
  <si>
    <t>Руководитель службы охраны труда:</t>
  </si>
  <si>
    <t>специалист по охране труда:</t>
  </si>
  <si>
    <t>специалист по охране труда I категории</t>
  </si>
  <si>
    <t>специалист по охране труда II категории</t>
  </si>
  <si>
    <t>специалист по охране труда</t>
  </si>
  <si>
    <t>среднее профессиональное образование по программам подготовки специалистов среднего звена без предъявления требований к стажу работы</t>
  </si>
  <si>
    <t xml:space="preserve">среднее общее образование и прошеший профессиональное обучение по программам  профессиональной подготовки в области образования и педагогики без предъявления требований к стажу работы  </t>
  </si>
  <si>
    <t>Вожатый</t>
  </si>
  <si>
    <t>Помощник воспитателя</t>
  </si>
  <si>
    <t>3.23.</t>
  </si>
  <si>
    <t>3.24.</t>
  </si>
  <si>
    <t>11355-13560</t>
  </si>
  <si>
    <t>11355-15105</t>
  </si>
  <si>
    <t>15105-16890</t>
  </si>
  <si>
    <t xml:space="preserve">2.6.  </t>
  </si>
  <si>
    <t>2.6.1.</t>
  </si>
  <si>
    <t xml:space="preserve">Педагогические работники образовательных организаций, в которые помещаются под надзор дети-сироты и дети, оставшиеся без попечения родителей:    </t>
  </si>
  <si>
    <r>
      <t xml:space="preserve">Педагогические работники учреждений, кроме указанных в </t>
    </r>
    <r>
      <rPr>
        <b/>
        <sz val="12"/>
        <color rgb="FF0000FF"/>
        <rFont val="Times New Roman"/>
        <family val="1"/>
        <charset val="204"/>
      </rPr>
      <t>подразделах 1.1</t>
    </r>
    <r>
      <rPr>
        <b/>
        <sz val="12"/>
        <color theme="1"/>
        <rFont val="Times New Roman"/>
        <family val="1"/>
        <charset val="204"/>
      </rPr>
      <t>-</t>
    </r>
    <r>
      <rPr>
        <b/>
        <sz val="12"/>
        <color rgb="FF0000FF"/>
        <rFont val="Times New Roman"/>
        <family val="1"/>
        <charset val="204"/>
      </rPr>
      <t>1.5 раздела 1</t>
    </r>
    <r>
      <rPr>
        <b/>
        <sz val="12"/>
        <color theme="1"/>
        <rFont val="Times New Roman"/>
        <family val="1"/>
        <charset val="204"/>
      </rPr>
      <t xml:space="preserve"> настоящей   таблицы                                                                                              </t>
    </r>
  </si>
  <si>
    <r>
      <t xml:space="preserve">Педагогические работники организаций, кроме указанных в </t>
    </r>
    <r>
      <rPr>
        <b/>
        <sz val="12"/>
        <color rgb="FF0000FF"/>
        <rFont val="Times New Roman"/>
        <family val="1"/>
        <charset val="204"/>
      </rPr>
      <t>подразделах 2.1</t>
    </r>
    <r>
      <rPr>
        <b/>
        <sz val="12"/>
        <color theme="1"/>
        <rFont val="Times New Roman"/>
        <family val="1"/>
        <charset val="204"/>
      </rPr>
      <t>-</t>
    </r>
    <r>
      <rPr>
        <b/>
        <sz val="12"/>
        <color rgb="FF0000FF"/>
        <rFont val="Times New Roman"/>
        <family val="1"/>
        <charset val="204"/>
      </rPr>
      <t>2.4 раздела 2</t>
    </r>
    <r>
      <rPr>
        <b/>
        <sz val="12"/>
        <color theme="1"/>
        <rFont val="Times New Roman"/>
        <family val="1"/>
        <charset val="204"/>
      </rPr>
      <t xml:space="preserve"> настоящей  таблицы:  </t>
    </r>
  </si>
  <si>
    <t xml:space="preserve">Педагогические работники организаций, кроме указанных в подразделах 1.1-1.4 раздела 1 настоящей таблицы:  
</t>
  </si>
  <si>
    <t xml:space="preserve">Педагогические работники образовательных организаций, в которые помещаются под надзор дети-сироты и дети, оставшиеся без попечения родителей:   </t>
  </si>
  <si>
    <t xml:space="preserve">Педагогические работники организаций, кроме указанных в подразделах 2.1-2.4 раздела 2 настоящей таблицы:     
</t>
  </si>
  <si>
    <r>
      <t xml:space="preserve">Педагогические работники организаций, кроме указанных в </t>
    </r>
    <r>
      <rPr>
        <b/>
        <sz val="12"/>
        <color rgb="FF0000FF"/>
        <rFont val="Times New Roman"/>
        <family val="1"/>
        <charset val="204"/>
      </rPr>
      <t>подразделах 1.1</t>
    </r>
    <r>
      <rPr>
        <b/>
        <sz val="12"/>
        <color theme="1"/>
        <rFont val="Times New Roman"/>
        <family val="1"/>
        <charset val="204"/>
      </rPr>
      <t xml:space="preserve"> и </t>
    </r>
    <r>
      <rPr>
        <b/>
        <sz val="12"/>
        <color rgb="FF0000FF"/>
        <rFont val="Times New Roman"/>
        <family val="1"/>
        <charset val="204"/>
      </rPr>
      <t>1.2 раздела 1</t>
    </r>
    <r>
      <rPr>
        <b/>
        <sz val="12"/>
        <color theme="1"/>
        <rFont val="Times New Roman"/>
        <family val="1"/>
        <charset val="204"/>
      </rPr>
      <t xml:space="preserve"> настоящей таблицы: </t>
    </r>
  </si>
</sst>
</file>

<file path=xl/styles.xml><?xml version="1.0" encoding="utf-8"?>
<styleSheet xmlns="http://schemas.openxmlformats.org/spreadsheetml/2006/main" xmlns:mc="http://schemas.openxmlformats.org/markup-compatibility/2006" xmlns:x14ac="http://schemas.microsoft.com/office/spreadsheetml/2009/9/ac" mc:Ignorable="x14ac">
  <fonts count="12" x14ac:knownFonts="1">
    <font>
      <sz val="11"/>
      <color theme="1"/>
      <name val="Calibri"/>
      <family val="2"/>
      <charset val="204"/>
      <scheme val="minor"/>
    </font>
    <font>
      <sz val="12"/>
      <color theme="1"/>
      <name val="Times New Roman"/>
      <family val="1"/>
      <charset val="204"/>
    </font>
    <font>
      <sz val="12"/>
      <color rgb="FF000000"/>
      <name val="Times New Roman"/>
      <family val="1"/>
      <charset val="204"/>
    </font>
    <font>
      <b/>
      <sz val="12"/>
      <color rgb="FF000000"/>
      <name val="Times New Roman"/>
      <family val="1"/>
      <charset val="204"/>
    </font>
    <font>
      <sz val="10"/>
      <color theme="1"/>
      <name val="Calibri"/>
      <family val="2"/>
      <charset val="204"/>
      <scheme val="minor"/>
    </font>
    <font>
      <sz val="11"/>
      <color rgb="FFFF0000"/>
      <name val="Calibri"/>
      <family val="2"/>
      <charset val="204"/>
      <scheme val="minor"/>
    </font>
    <font>
      <b/>
      <sz val="11"/>
      <color theme="1"/>
      <name val="Calibri"/>
      <family val="2"/>
      <charset val="204"/>
      <scheme val="minor"/>
    </font>
    <font>
      <sz val="10"/>
      <color theme="1"/>
      <name val="Times New Roman"/>
      <family val="1"/>
      <charset val="204"/>
    </font>
    <font>
      <sz val="11"/>
      <color theme="1"/>
      <name val="Times New Roman"/>
      <family val="1"/>
      <charset val="204"/>
    </font>
    <font>
      <b/>
      <sz val="12"/>
      <color theme="1"/>
      <name val="Times New Roman"/>
      <family val="1"/>
      <charset val="204"/>
    </font>
    <font>
      <b/>
      <sz val="12"/>
      <color rgb="FF0000FF"/>
      <name val="Times New Roman"/>
      <family val="1"/>
      <charset val="204"/>
    </font>
    <font>
      <sz val="12"/>
      <name val="Times New Roman"/>
      <family val="1"/>
      <charset val="204"/>
    </font>
  </fonts>
  <fills count="2">
    <fill>
      <patternFill patternType="none"/>
    </fill>
    <fill>
      <patternFill patternType="gray125"/>
    </fill>
  </fills>
  <borders count="16">
    <border>
      <left/>
      <right/>
      <top/>
      <bottom/>
      <diagonal/>
    </border>
    <border>
      <left style="medium">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145">
    <xf numFmtId="0" fontId="0" fillId="0" borderId="0" xfId="0"/>
    <xf numFmtId="0" fontId="2" fillId="0" borderId="0" xfId="0" applyFont="1" applyAlignment="1">
      <alignment horizontal="center" vertical="center"/>
    </xf>
    <xf numFmtId="0" fontId="2" fillId="0" borderId="0" xfId="0" applyFont="1" applyAlignment="1">
      <alignment horizontal="right" vertical="center"/>
    </xf>
    <xf numFmtId="0" fontId="4" fillId="0" borderId="0" xfId="0" applyFont="1" applyAlignment="1">
      <alignment vertical="center" wrapText="1"/>
    </xf>
    <xf numFmtId="0" fontId="1" fillId="0" borderId="0" xfId="0" applyFont="1" applyAlignment="1">
      <alignment vertical="center"/>
    </xf>
    <xf numFmtId="0" fontId="1" fillId="0" borderId="2" xfId="0" applyFont="1" applyBorder="1" applyAlignment="1">
      <alignment horizontal="center" vertical="center" wrapText="1"/>
    </xf>
    <xf numFmtId="0" fontId="1" fillId="0" borderId="2" xfId="0" applyFont="1" applyBorder="1" applyAlignment="1">
      <alignment vertical="center" wrapText="1"/>
    </xf>
    <xf numFmtId="0" fontId="1" fillId="0" borderId="3" xfId="0" applyFont="1" applyBorder="1" applyAlignment="1">
      <alignment vertical="center" wrapText="1"/>
    </xf>
    <xf numFmtId="0" fontId="1" fillId="0" borderId="2" xfId="0" applyFont="1" applyBorder="1" applyAlignment="1">
      <alignment vertical="center" wrapText="1"/>
    </xf>
    <xf numFmtId="0" fontId="1" fillId="0" borderId="4" xfId="0" applyFont="1" applyBorder="1" applyAlignment="1">
      <alignment vertical="center" wrapText="1"/>
    </xf>
    <xf numFmtId="0" fontId="1" fillId="0" borderId="5" xfId="0" applyFont="1" applyBorder="1" applyAlignment="1">
      <alignment vertical="center" wrapText="1"/>
    </xf>
    <xf numFmtId="0" fontId="1" fillId="0" borderId="1" xfId="0" applyFont="1" applyBorder="1" applyAlignment="1">
      <alignment horizontal="center" vertical="center" wrapText="1"/>
    </xf>
    <xf numFmtId="0" fontId="1" fillId="0" borderId="4" xfId="0" applyFont="1" applyBorder="1" applyAlignment="1">
      <alignment horizontal="center" vertical="center" wrapText="1"/>
    </xf>
    <xf numFmtId="0" fontId="0" fillId="0" borderId="0" xfId="0" applyAlignment="1">
      <alignment horizontal="center"/>
    </xf>
    <xf numFmtId="0" fontId="1" fillId="0" borderId="2" xfId="0" applyFont="1" applyBorder="1" applyAlignment="1">
      <alignment vertical="top" wrapText="1"/>
    </xf>
    <xf numFmtId="0" fontId="2" fillId="0" borderId="0" xfId="0" applyFont="1" applyAlignment="1">
      <alignment horizontal="center" vertical="center" wrapText="1"/>
    </xf>
    <xf numFmtId="0" fontId="0" fillId="0" borderId="0" xfId="0" applyAlignment="1">
      <alignment horizontal="right" vertical="top"/>
    </xf>
    <xf numFmtId="0" fontId="8" fillId="0" borderId="0" xfId="0" applyFont="1" applyAlignment="1">
      <alignment vertical="center"/>
    </xf>
    <xf numFmtId="0" fontId="1" fillId="0" borderId="0" xfId="0" applyFont="1" applyAlignment="1">
      <alignment horizontal="right" vertical="center"/>
    </xf>
    <xf numFmtId="0" fontId="1" fillId="0" borderId="0" xfId="0" applyFont="1" applyAlignment="1">
      <alignment horizontal="center" vertical="center"/>
    </xf>
    <xf numFmtId="0" fontId="1" fillId="0" borderId="0" xfId="0" applyFont="1" applyAlignment="1">
      <alignment vertical="center" wrapText="1"/>
    </xf>
    <xf numFmtId="0" fontId="1" fillId="0" borderId="0" xfId="0" applyFont="1" applyAlignment="1">
      <alignment horizontal="center" vertical="center" wrapText="1"/>
    </xf>
    <xf numFmtId="0" fontId="0" fillId="0" borderId="3" xfId="0" applyBorder="1" applyAlignment="1">
      <alignment vertical="top" wrapText="1"/>
    </xf>
    <xf numFmtId="0" fontId="2" fillId="0" borderId="2" xfId="0" applyFont="1" applyBorder="1" applyAlignment="1">
      <alignment horizontal="center" vertical="center" wrapText="1"/>
    </xf>
    <xf numFmtId="1" fontId="2" fillId="0" borderId="2" xfId="0" applyNumberFormat="1" applyFont="1" applyBorder="1" applyAlignment="1">
      <alignment horizontal="center" vertical="center" wrapText="1"/>
    </xf>
    <xf numFmtId="1" fontId="1" fillId="0" borderId="2" xfId="0" applyNumberFormat="1" applyFont="1" applyBorder="1" applyAlignment="1">
      <alignment horizontal="center" vertical="center" wrapText="1"/>
    </xf>
    <xf numFmtId="0" fontId="1" fillId="0" borderId="0" xfId="0" applyFont="1" applyBorder="1" applyAlignment="1">
      <alignment vertical="center" wrapText="1"/>
    </xf>
    <xf numFmtId="0" fontId="2" fillId="0" borderId="0" xfId="0" applyFont="1" applyBorder="1" applyAlignment="1">
      <alignment horizontal="center" vertical="center" wrapText="1"/>
    </xf>
    <xf numFmtId="0" fontId="0" fillId="0" borderId="10" xfId="0" applyBorder="1" applyAlignment="1">
      <alignment vertical="top" wrapText="1"/>
    </xf>
    <xf numFmtId="0" fontId="1" fillId="0" borderId="0" xfId="0" applyFont="1" applyAlignment="1">
      <alignment horizontal="justify" vertical="center"/>
    </xf>
    <xf numFmtId="0" fontId="1" fillId="0" borderId="5" xfId="0" applyFont="1" applyBorder="1" applyAlignment="1">
      <alignment wrapText="1"/>
    </xf>
    <xf numFmtId="0" fontId="1" fillId="0" borderId="7" xfId="0" applyFont="1" applyBorder="1" applyAlignment="1">
      <alignment vertical="center" wrapText="1"/>
    </xf>
    <xf numFmtId="0" fontId="1" fillId="0" borderId="13" xfId="0" applyFont="1" applyBorder="1" applyAlignment="1">
      <alignment vertical="center" wrapText="1"/>
    </xf>
    <xf numFmtId="0" fontId="1" fillId="0" borderId="10" xfId="0" applyFont="1" applyBorder="1" applyAlignment="1">
      <alignment vertical="center" wrapText="1"/>
    </xf>
    <xf numFmtId="0" fontId="1" fillId="0" borderId="12" xfId="0" applyFont="1" applyBorder="1" applyAlignment="1">
      <alignment vertical="center" wrapText="1"/>
    </xf>
    <xf numFmtId="0" fontId="1" fillId="0" borderId="2" xfId="0" applyFont="1" applyBorder="1" applyAlignment="1">
      <alignment horizontal="right" vertical="center"/>
    </xf>
    <xf numFmtId="0" fontId="1" fillId="0" borderId="2" xfId="0" applyFont="1" applyBorder="1" applyAlignment="1">
      <alignment vertical="center"/>
    </xf>
    <xf numFmtId="1" fontId="2" fillId="0" borderId="2" xfId="0" applyNumberFormat="1" applyFont="1" applyBorder="1" applyAlignment="1">
      <alignment horizontal="center" vertical="center"/>
    </xf>
    <xf numFmtId="1" fontId="1" fillId="0" borderId="2" xfId="0" applyNumberFormat="1" applyFont="1" applyBorder="1" applyAlignment="1">
      <alignment vertical="center"/>
    </xf>
    <xf numFmtId="1" fontId="2" fillId="0" borderId="2" xfId="0" applyNumberFormat="1" applyFont="1" applyBorder="1" applyAlignment="1">
      <alignment horizontal="right" vertical="center"/>
    </xf>
    <xf numFmtId="0" fontId="1" fillId="0" borderId="0" xfId="0" applyFont="1" applyAlignment="1">
      <alignment horizontal="left" vertical="center" indent="15"/>
    </xf>
    <xf numFmtId="0" fontId="0" fillId="0" borderId="5" xfId="0" applyBorder="1" applyAlignment="1">
      <alignment vertical="top" wrapText="1"/>
    </xf>
    <xf numFmtId="0" fontId="0" fillId="0" borderId="0" xfId="0" applyBorder="1" applyAlignment="1">
      <alignment vertical="top" wrapText="1"/>
    </xf>
    <xf numFmtId="0" fontId="1" fillId="0" borderId="4" xfId="0" applyFont="1" applyBorder="1" applyAlignment="1">
      <alignment horizontal="left" vertical="center" wrapText="1"/>
    </xf>
    <xf numFmtId="0" fontId="1" fillId="0" borderId="0" xfId="0" applyFont="1" applyBorder="1" applyAlignment="1">
      <alignment horizontal="left" vertical="center" wrapText="1"/>
    </xf>
    <xf numFmtId="0" fontId="1" fillId="0" borderId="5" xfId="0" applyFont="1" applyBorder="1" applyAlignment="1">
      <alignment horizontal="left" vertical="center" wrapText="1"/>
    </xf>
    <xf numFmtId="0" fontId="8" fillId="0" borderId="5" xfId="0" applyFont="1" applyBorder="1" applyAlignment="1">
      <alignment horizontal="left" vertical="center" wrapText="1"/>
    </xf>
    <xf numFmtId="0" fontId="8" fillId="0" borderId="0" xfId="0" applyFont="1" applyBorder="1" applyAlignment="1">
      <alignment horizontal="left" vertical="center" wrapText="1"/>
    </xf>
    <xf numFmtId="0" fontId="0" fillId="0" borderId="5" xfId="0" applyBorder="1" applyAlignment="1">
      <alignment horizontal="left" vertical="top" wrapText="1"/>
    </xf>
    <xf numFmtId="0" fontId="0" fillId="0" borderId="0" xfId="0" applyBorder="1" applyAlignment="1">
      <alignment horizontal="left" vertical="top" wrapText="1"/>
    </xf>
    <xf numFmtId="0" fontId="6" fillId="0" borderId="0" xfId="0" applyFont="1"/>
    <xf numFmtId="0" fontId="5" fillId="0" borderId="0" xfId="0" applyFont="1"/>
    <xf numFmtId="0" fontId="0" fillId="0" borderId="0" xfId="0" applyAlignment="1">
      <alignment vertical="top"/>
    </xf>
    <xf numFmtId="0" fontId="5" fillId="0" borderId="0" xfId="0" applyFont="1" applyAlignment="1">
      <alignment vertical="top"/>
    </xf>
    <xf numFmtId="0" fontId="9" fillId="0" borderId="2" xfId="0" applyFont="1" applyBorder="1" applyAlignment="1">
      <alignment vertical="center" wrapText="1"/>
    </xf>
    <xf numFmtId="0" fontId="6" fillId="0" borderId="0" xfId="0" applyFont="1" applyBorder="1"/>
    <xf numFmtId="0" fontId="7" fillId="0" borderId="0" xfId="0" applyFont="1" applyBorder="1" applyAlignment="1">
      <alignment vertical="center" wrapText="1"/>
    </xf>
    <xf numFmtId="0" fontId="7" fillId="0" borderId="5" xfId="0" applyFont="1" applyBorder="1" applyAlignment="1">
      <alignment vertical="center" wrapText="1"/>
    </xf>
    <xf numFmtId="0" fontId="7" fillId="0" borderId="3" xfId="0" applyFont="1" applyBorder="1" applyAlignment="1">
      <alignment vertical="center" wrapText="1"/>
    </xf>
    <xf numFmtId="0" fontId="1" fillId="0" borderId="2" xfId="0" applyFont="1" applyBorder="1" applyAlignment="1">
      <alignment vertical="center" wrapText="1"/>
    </xf>
    <xf numFmtId="0" fontId="1" fillId="0" borderId="0" xfId="0" applyFont="1" applyAlignment="1">
      <alignment horizontal="center" vertical="center" wrapText="1"/>
    </xf>
    <xf numFmtId="0" fontId="1" fillId="0" borderId="0" xfId="0" applyFont="1" applyBorder="1" applyAlignment="1">
      <alignment vertical="center" wrapText="1"/>
    </xf>
    <xf numFmtId="0" fontId="9" fillId="0" borderId="2" xfId="0" applyFont="1" applyBorder="1" applyAlignment="1">
      <alignment vertical="center" wrapText="1"/>
    </xf>
    <xf numFmtId="0" fontId="9" fillId="0" borderId="0" xfId="0" applyFont="1" applyAlignment="1">
      <alignment horizontal="center" vertical="center"/>
    </xf>
    <xf numFmtId="0" fontId="2" fillId="0" borderId="0" xfId="0" applyFont="1" applyAlignment="1">
      <alignment vertical="center" wrapText="1"/>
    </xf>
    <xf numFmtId="0" fontId="2" fillId="0" borderId="0" xfId="0" applyFont="1" applyBorder="1" applyAlignment="1">
      <alignment vertical="center" wrapText="1"/>
    </xf>
    <xf numFmtId="0" fontId="2" fillId="0" borderId="2" xfId="0" applyFont="1" applyBorder="1" applyAlignment="1">
      <alignment vertical="center" wrapText="1"/>
    </xf>
    <xf numFmtId="0" fontId="2" fillId="0" borderId="2" xfId="0" applyFont="1" applyBorder="1" applyAlignment="1">
      <alignment vertical="center" wrapText="1"/>
    </xf>
    <xf numFmtId="0" fontId="0" fillId="0" borderId="0" xfId="0" applyAlignment="1">
      <alignment horizontal="left"/>
    </xf>
    <xf numFmtId="0" fontId="2" fillId="0" borderId="2" xfId="0" applyFont="1" applyBorder="1" applyAlignment="1">
      <alignment horizontal="left" vertical="center" wrapText="1"/>
    </xf>
    <xf numFmtId="0" fontId="8" fillId="0" borderId="0" xfId="0" applyFont="1" applyAlignment="1">
      <alignment horizontal="right" vertical="center"/>
    </xf>
    <xf numFmtId="0" fontId="3" fillId="0" borderId="2" xfId="0" applyFont="1" applyBorder="1" applyAlignment="1">
      <alignment vertical="center" wrapText="1"/>
    </xf>
    <xf numFmtId="0" fontId="3" fillId="0" borderId="2" xfId="0" applyFont="1" applyBorder="1" applyAlignment="1">
      <alignment horizontal="center" vertical="center" wrapText="1"/>
    </xf>
    <xf numFmtId="0" fontId="3" fillId="0" borderId="0" xfId="0" applyFont="1" applyAlignment="1">
      <alignment vertical="center" wrapText="1"/>
    </xf>
    <xf numFmtId="0" fontId="1" fillId="0" borderId="2" xfId="0" applyFont="1" applyBorder="1" applyAlignment="1">
      <alignment vertical="center" wrapText="1"/>
    </xf>
    <xf numFmtId="0" fontId="1" fillId="0" borderId="0" xfId="0" applyFont="1" applyBorder="1" applyAlignment="1">
      <alignment vertical="center" wrapText="1"/>
    </xf>
    <xf numFmtId="1" fontId="3" fillId="0" borderId="2" xfId="0" applyNumberFormat="1" applyFont="1" applyBorder="1" applyAlignment="1">
      <alignment horizontal="center" vertical="center" wrapText="1"/>
    </xf>
    <xf numFmtId="0" fontId="1" fillId="0" borderId="0" xfId="0" applyFont="1" applyAlignment="1">
      <alignment vertical="center" wrapText="1"/>
    </xf>
    <xf numFmtId="0" fontId="1" fillId="0" borderId="2" xfId="0" applyFont="1" applyBorder="1" applyAlignment="1">
      <alignment horizontal="center" vertical="center"/>
    </xf>
    <xf numFmtId="0" fontId="9" fillId="0" borderId="0" xfId="0" applyFont="1" applyAlignment="1">
      <alignment vertical="center" wrapText="1"/>
    </xf>
    <xf numFmtId="0" fontId="9" fillId="0" borderId="2" xfId="0" applyFont="1" applyBorder="1" applyAlignment="1">
      <alignment horizontal="center" vertical="center"/>
    </xf>
    <xf numFmtId="1" fontId="11" fillId="0" borderId="2" xfId="0" applyNumberFormat="1" applyFont="1" applyBorder="1" applyAlignment="1">
      <alignment horizontal="center" vertical="center" wrapText="1"/>
    </xf>
    <xf numFmtId="1" fontId="11" fillId="0" borderId="2" xfId="0" applyNumberFormat="1" applyFont="1" applyBorder="1" applyAlignment="1">
      <alignment horizontal="center" vertical="center"/>
    </xf>
    <xf numFmtId="0" fontId="2" fillId="0" borderId="2" xfId="0" applyFont="1" applyBorder="1" applyAlignment="1">
      <alignment vertical="center" wrapText="1"/>
    </xf>
    <xf numFmtId="1" fontId="1" fillId="0" borderId="2" xfId="0" applyNumberFormat="1" applyFont="1" applyBorder="1" applyAlignment="1">
      <alignment vertical="top" wrapText="1"/>
    </xf>
    <xf numFmtId="1" fontId="1" fillId="0" borderId="2" xfId="0" applyNumberFormat="1" applyFont="1" applyBorder="1" applyAlignment="1">
      <alignment vertical="center" wrapText="1"/>
    </xf>
    <xf numFmtId="1" fontId="9" fillId="0" borderId="2" xfId="0" applyNumberFormat="1" applyFont="1" applyBorder="1" applyAlignment="1">
      <alignment vertical="center" wrapText="1"/>
    </xf>
    <xf numFmtId="1" fontId="1" fillId="0" borderId="2" xfId="0" applyNumberFormat="1" applyFont="1" applyBorder="1" applyAlignment="1">
      <alignment horizontal="center" vertical="center"/>
    </xf>
    <xf numFmtId="1" fontId="3" fillId="0" borderId="2" xfId="0" applyNumberFormat="1" applyFont="1" applyBorder="1" applyAlignment="1">
      <alignment horizontal="center" vertical="center"/>
    </xf>
    <xf numFmtId="1" fontId="9" fillId="0" borderId="2" xfId="0" applyNumberFormat="1" applyFont="1" applyBorder="1" applyAlignment="1">
      <alignment vertical="center" wrapText="1"/>
    </xf>
    <xf numFmtId="0" fontId="1" fillId="0" borderId="2" xfId="0" applyFont="1" applyBorder="1" applyAlignment="1">
      <alignment vertical="center" wrapText="1"/>
    </xf>
    <xf numFmtId="0" fontId="0" fillId="0" borderId="2" xfId="0" applyBorder="1" applyAlignment="1">
      <alignment vertical="center" wrapText="1"/>
    </xf>
    <xf numFmtId="0" fontId="1" fillId="0" borderId="4" xfId="0" applyFont="1" applyBorder="1" applyAlignment="1">
      <alignment vertical="top" wrapText="1"/>
    </xf>
    <xf numFmtId="0" fontId="1" fillId="0" borderId="5" xfId="0" applyFont="1" applyBorder="1" applyAlignment="1">
      <alignment vertical="top" wrapText="1"/>
    </xf>
    <xf numFmtId="0" fontId="1" fillId="0" borderId="3" xfId="0" applyFont="1" applyBorder="1" applyAlignment="1">
      <alignment vertical="top" wrapText="1"/>
    </xf>
    <xf numFmtId="0" fontId="3" fillId="0" borderId="0" xfId="0" applyFont="1" applyAlignment="1">
      <alignment horizontal="center" vertical="center" wrapText="1"/>
    </xf>
    <xf numFmtId="0" fontId="0" fillId="0" borderId="0" xfId="0" applyAlignment="1">
      <alignment wrapText="1"/>
    </xf>
    <xf numFmtId="0" fontId="2" fillId="0" borderId="0" xfId="0" applyFont="1" applyAlignment="1">
      <alignment horizontal="center" vertical="center" wrapText="1"/>
    </xf>
    <xf numFmtId="0" fontId="2" fillId="0" borderId="0" xfId="0" applyFont="1" applyAlignment="1">
      <alignment horizontal="center" wrapText="1"/>
    </xf>
    <xf numFmtId="0" fontId="2" fillId="0" borderId="6" xfId="0" applyFont="1" applyBorder="1" applyAlignment="1">
      <alignment horizontal="center" vertical="top" wrapText="1"/>
    </xf>
    <xf numFmtId="0" fontId="0" fillId="0" borderId="6" xfId="0" applyBorder="1" applyAlignment="1">
      <alignment vertical="top" wrapText="1"/>
    </xf>
    <xf numFmtId="0" fontId="1" fillId="0" borderId="0" xfId="0" applyFont="1" applyAlignment="1">
      <alignment horizontal="center" vertical="center" wrapText="1"/>
    </xf>
    <xf numFmtId="0" fontId="1" fillId="0" borderId="0" xfId="0" applyFont="1" applyBorder="1" applyAlignment="1">
      <alignment horizontal="center" vertical="center" wrapText="1" shrinkToFit="1"/>
    </xf>
    <xf numFmtId="0" fontId="0" fillId="0" borderId="0" xfId="0" applyBorder="1" applyAlignment="1">
      <alignment wrapText="1" shrinkToFit="1"/>
    </xf>
    <xf numFmtId="0" fontId="1" fillId="0" borderId="7" xfId="0" applyFont="1" applyBorder="1" applyAlignment="1">
      <alignment vertical="center" wrapText="1"/>
    </xf>
    <xf numFmtId="0" fontId="1" fillId="0" borderId="8" xfId="0" applyFont="1" applyBorder="1" applyAlignment="1">
      <alignment vertical="center" wrapText="1"/>
    </xf>
    <xf numFmtId="0" fontId="1" fillId="0" borderId="9" xfId="0" applyFont="1" applyBorder="1" applyAlignment="1">
      <alignment vertical="center" wrapText="1"/>
    </xf>
    <xf numFmtId="0" fontId="1" fillId="0" borderId="10" xfId="0" applyFont="1" applyBorder="1" applyAlignment="1">
      <alignment vertical="center" wrapText="1"/>
    </xf>
    <xf numFmtId="0" fontId="1" fillId="0" borderId="6" xfId="0" applyFont="1" applyBorder="1" applyAlignment="1">
      <alignment vertical="center" wrapText="1"/>
    </xf>
    <xf numFmtId="0" fontId="1" fillId="0" borderId="11" xfId="0" applyFont="1" applyBorder="1" applyAlignment="1">
      <alignment vertical="center" wrapText="1"/>
    </xf>
    <xf numFmtId="0" fontId="1" fillId="0" borderId="12" xfId="0" applyFont="1" applyBorder="1" applyAlignment="1">
      <alignment vertical="center" wrapText="1"/>
    </xf>
    <xf numFmtId="0" fontId="1" fillId="0" borderId="4" xfId="0" applyFont="1" applyBorder="1" applyAlignment="1">
      <alignment vertical="center" wrapText="1"/>
    </xf>
    <xf numFmtId="0" fontId="1" fillId="0" borderId="5" xfId="0" applyFont="1" applyBorder="1" applyAlignment="1">
      <alignment vertical="center" wrapText="1"/>
    </xf>
    <xf numFmtId="0" fontId="1" fillId="0" borderId="3" xfId="0" applyFont="1" applyBorder="1" applyAlignment="1">
      <alignment vertical="center" wrapText="1"/>
    </xf>
    <xf numFmtId="0" fontId="1" fillId="0" borderId="8" xfId="0" applyFont="1" applyBorder="1" applyAlignment="1">
      <alignment horizontal="justify" vertical="center" wrapText="1"/>
    </xf>
    <xf numFmtId="0" fontId="0" fillId="0" borderId="8" xfId="0" applyBorder="1" applyAlignment="1">
      <alignment wrapText="1"/>
    </xf>
    <xf numFmtId="0" fontId="1" fillId="0" borderId="0" xfId="0" applyFont="1" applyAlignment="1">
      <alignment horizontal="justify" vertical="center" wrapText="1"/>
    </xf>
    <xf numFmtId="0" fontId="1" fillId="0" borderId="6" xfId="0" applyFont="1" applyBorder="1" applyAlignment="1">
      <alignment horizontal="center" vertical="center" wrapText="1"/>
    </xf>
    <xf numFmtId="0" fontId="0" fillId="0" borderId="6" xfId="0" applyBorder="1" applyAlignment="1">
      <alignment wrapText="1"/>
    </xf>
    <xf numFmtId="0" fontId="1" fillId="0" borderId="0" xfId="0" applyFont="1" applyBorder="1" applyAlignment="1">
      <alignment horizontal="center" vertical="center" wrapText="1"/>
    </xf>
    <xf numFmtId="0" fontId="0" fillId="0" borderId="0" xfId="0" applyBorder="1" applyAlignment="1">
      <alignment wrapText="1"/>
    </xf>
    <xf numFmtId="0" fontId="1" fillId="0" borderId="13" xfId="0" applyFont="1" applyBorder="1" applyAlignment="1">
      <alignment vertical="center" wrapText="1"/>
    </xf>
    <xf numFmtId="0" fontId="1" fillId="0" borderId="0" xfId="0" applyFont="1" applyBorder="1" applyAlignment="1">
      <alignment vertical="center" wrapText="1"/>
    </xf>
    <xf numFmtId="0" fontId="9" fillId="0" borderId="2" xfId="0" applyFont="1" applyBorder="1" applyAlignment="1">
      <alignment vertical="center" wrapText="1"/>
    </xf>
    <xf numFmtId="1" fontId="9" fillId="0" borderId="2" xfId="0" applyNumberFormat="1" applyFont="1" applyBorder="1" applyAlignment="1">
      <alignment vertical="center" wrapText="1"/>
    </xf>
    <xf numFmtId="0" fontId="1" fillId="0" borderId="2" xfId="0" applyFont="1" applyBorder="1" applyAlignment="1">
      <alignment horizontal="left" vertical="center" wrapText="1"/>
    </xf>
    <xf numFmtId="0" fontId="9" fillId="0" borderId="0" xfId="0" applyFont="1" applyAlignment="1">
      <alignment horizontal="center" vertical="center" wrapText="1"/>
    </xf>
    <xf numFmtId="1" fontId="9" fillId="0" borderId="2" xfId="0" applyNumberFormat="1" applyFont="1" applyBorder="1" applyAlignment="1">
      <alignment vertical="top" wrapText="1"/>
    </xf>
    <xf numFmtId="1" fontId="9" fillId="0" borderId="12" xfId="0" applyNumberFormat="1" applyFont="1" applyBorder="1" applyAlignment="1">
      <alignment vertical="top" wrapText="1"/>
    </xf>
    <xf numFmtId="1" fontId="9" fillId="0" borderId="14" xfId="0" applyNumberFormat="1" applyFont="1" applyBorder="1" applyAlignment="1">
      <alignment vertical="top" wrapText="1"/>
    </xf>
    <xf numFmtId="1" fontId="9" fillId="0" borderId="15" xfId="0" applyNumberFormat="1" applyFont="1" applyBorder="1" applyAlignment="1">
      <alignment vertical="top" wrapText="1"/>
    </xf>
    <xf numFmtId="1" fontId="6" fillId="0" borderId="2" xfId="0" applyNumberFormat="1" applyFont="1" applyBorder="1" applyAlignment="1">
      <alignment vertical="center" wrapText="1"/>
    </xf>
    <xf numFmtId="0" fontId="1" fillId="0" borderId="2" xfId="0" applyFont="1" applyBorder="1" applyAlignment="1">
      <alignment vertical="top" wrapText="1"/>
    </xf>
    <xf numFmtId="0" fontId="1" fillId="0" borderId="14" xfId="0" applyFont="1" applyBorder="1" applyAlignment="1">
      <alignment vertical="center" wrapText="1"/>
    </xf>
    <xf numFmtId="0" fontId="1" fillId="0" borderId="15" xfId="0" applyFont="1" applyBorder="1" applyAlignment="1">
      <alignment vertical="center" wrapText="1"/>
    </xf>
    <xf numFmtId="0" fontId="8" fillId="0" borderId="12" xfId="0" applyFont="1" applyBorder="1" applyAlignment="1">
      <alignment vertical="center" wrapText="1"/>
    </xf>
    <xf numFmtId="0" fontId="8" fillId="0" borderId="14" xfId="0" applyFont="1" applyBorder="1" applyAlignment="1">
      <alignment vertical="center" wrapText="1"/>
    </xf>
    <xf numFmtId="0" fontId="8" fillId="0" borderId="15" xfId="0" applyFont="1" applyBorder="1" applyAlignment="1">
      <alignment vertical="center" wrapText="1"/>
    </xf>
    <xf numFmtId="0" fontId="1" fillId="0" borderId="0" xfId="0" applyFont="1" applyAlignment="1">
      <alignment horizontal="left" vertical="center" wrapText="1"/>
    </xf>
    <xf numFmtId="0" fontId="2" fillId="0" borderId="2" xfId="0" applyFont="1" applyBorder="1" applyAlignment="1">
      <alignment vertical="center" wrapText="1"/>
    </xf>
    <xf numFmtId="0" fontId="1" fillId="0" borderId="0" xfId="0" applyFont="1" applyAlignment="1">
      <alignment horizontal="center" wrapText="1"/>
    </xf>
    <xf numFmtId="0" fontId="1" fillId="0" borderId="0" xfId="0" applyFont="1" applyBorder="1" applyAlignment="1">
      <alignment horizontal="justify" vertical="center" wrapText="1"/>
    </xf>
    <xf numFmtId="0" fontId="1" fillId="0" borderId="6" xfId="0" applyFont="1" applyBorder="1" applyAlignment="1">
      <alignment horizontal="center" vertical="top" wrapText="1"/>
    </xf>
    <xf numFmtId="0" fontId="1" fillId="0" borderId="2" xfId="0" applyFont="1" applyBorder="1" applyAlignment="1">
      <alignment horizontal="center" vertical="center" wrapText="1"/>
    </xf>
    <xf numFmtId="0" fontId="1" fillId="0" borderId="0" xfId="0" applyFont="1" applyAlignment="1">
      <alignment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7"/>
  <sheetViews>
    <sheetView workbookViewId="0">
      <selection activeCell="C4" sqref="C4"/>
    </sheetView>
  </sheetViews>
  <sheetFormatPr defaultRowHeight="14.4" x14ac:dyDescent="0.3"/>
  <cols>
    <col min="1" max="1" width="4.88671875" customWidth="1"/>
    <col min="2" max="2" width="39.44140625" customWidth="1"/>
    <col min="3" max="6" width="10.6640625" customWidth="1"/>
  </cols>
  <sheetData>
    <row r="1" spans="1:6" ht="15" x14ac:dyDescent="0.25">
      <c r="B1" s="16">
        <v>1</v>
      </c>
    </row>
    <row r="2" spans="1:6" x14ac:dyDescent="0.3">
      <c r="D2" s="17" t="s">
        <v>0</v>
      </c>
    </row>
    <row r="3" spans="1:6" x14ac:dyDescent="0.3">
      <c r="D3" s="17" t="s">
        <v>457</v>
      </c>
    </row>
    <row r="4" spans="1:6" x14ac:dyDescent="0.3">
      <c r="D4" s="17" t="s">
        <v>458</v>
      </c>
    </row>
    <row r="5" spans="1:6" x14ac:dyDescent="0.3">
      <c r="D5" s="17" t="s">
        <v>509</v>
      </c>
    </row>
    <row r="6" spans="1:6" ht="15.6" x14ac:dyDescent="0.3">
      <c r="A6" s="1"/>
      <c r="D6" s="17" t="s">
        <v>19</v>
      </c>
    </row>
    <row r="7" spans="1:6" x14ac:dyDescent="0.3">
      <c r="A7" s="95" t="s">
        <v>459</v>
      </c>
      <c r="B7" s="96"/>
      <c r="C7" s="96"/>
      <c r="D7" s="96"/>
      <c r="E7" s="96"/>
      <c r="F7" s="96"/>
    </row>
    <row r="8" spans="1:6" ht="15.6" x14ac:dyDescent="0.3">
      <c r="F8" s="2" t="s">
        <v>1</v>
      </c>
    </row>
    <row r="9" spans="1:6" ht="17.25" customHeight="1" x14ac:dyDescent="0.3">
      <c r="A9" s="97" t="s">
        <v>2</v>
      </c>
      <c r="B9" s="96"/>
      <c r="C9" s="96"/>
      <c r="D9" s="96"/>
      <c r="E9" s="96"/>
      <c r="F9" s="96"/>
    </row>
    <row r="10" spans="1:6" ht="64.5" customHeight="1" x14ac:dyDescent="0.3">
      <c r="A10" s="98" t="s">
        <v>20</v>
      </c>
      <c r="B10" s="96"/>
      <c r="C10" s="96"/>
      <c r="D10" s="96"/>
      <c r="E10" s="96"/>
      <c r="F10" s="96"/>
    </row>
    <row r="11" spans="1:6" ht="75" customHeight="1" x14ac:dyDescent="0.3">
      <c r="A11" s="99" t="s">
        <v>18</v>
      </c>
      <c r="B11" s="100"/>
      <c r="C11" s="100"/>
      <c r="D11" s="100"/>
      <c r="E11" s="100"/>
      <c r="F11" s="100"/>
    </row>
    <row r="12" spans="1:6" ht="22.5" customHeight="1" x14ac:dyDescent="0.3">
      <c r="A12" s="9" t="s">
        <v>3</v>
      </c>
      <c r="B12" s="9" t="s">
        <v>4</v>
      </c>
      <c r="C12" s="90" t="s">
        <v>5</v>
      </c>
      <c r="D12" s="91"/>
      <c r="E12" s="91"/>
      <c r="F12" s="91"/>
    </row>
    <row r="13" spans="1:6" ht="22.5" customHeight="1" x14ac:dyDescent="0.3">
      <c r="A13" s="10" t="s">
        <v>6</v>
      </c>
      <c r="B13" s="10" t="s">
        <v>7</v>
      </c>
      <c r="C13" s="90" t="s">
        <v>8</v>
      </c>
      <c r="D13" s="91"/>
      <c r="E13" s="91"/>
      <c r="F13" s="91"/>
    </row>
    <row r="14" spans="1:6" ht="15.6" x14ac:dyDescent="0.3">
      <c r="A14" s="7"/>
      <c r="B14" s="7"/>
      <c r="C14" s="5" t="s">
        <v>9</v>
      </c>
      <c r="D14" s="5" t="s">
        <v>10</v>
      </c>
      <c r="E14" s="5" t="s">
        <v>11</v>
      </c>
      <c r="F14" s="5" t="s">
        <v>12</v>
      </c>
    </row>
    <row r="15" spans="1:6" s="13" customFormat="1" ht="15.6" x14ac:dyDescent="0.3">
      <c r="A15" s="11">
        <v>1</v>
      </c>
      <c r="B15" s="5">
        <v>2</v>
      </c>
      <c r="C15" s="12">
        <v>3</v>
      </c>
      <c r="D15" s="12">
        <v>4</v>
      </c>
      <c r="E15" s="12">
        <v>5</v>
      </c>
      <c r="F15" s="12">
        <v>6</v>
      </c>
    </row>
    <row r="16" spans="1:6" ht="18" customHeight="1" x14ac:dyDescent="0.3">
      <c r="A16" s="9">
        <v>1</v>
      </c>
      <c r="B16" s="6" t="s">
        <v>471</v>
      </c>
      <c r="C16" s="6"/>
      <c r="D16" s="6"/>
      <c r="E16" s="6"/>
      <c r="F16" s="6"/>
    </row>
    <row r="17" spans="1:7" ht="18" customHeight="1" x14ac:dyDescent="0.3">
      <c r="A17" s="10"/>
      <c r="B17" s="6" t="s">
        <v>14</v>
      </c>
      <c r="C17" s="24">
        <f>1.06*25100+4</f>
        <v>26610</v>
      </c>
      <c r="D17" s="24">
        <f>1.06*24015+4</f>
        <v>25459.9</v>
      </c>
      <c r="E17" s="24">
        <f>1.06*22930+4</f>
        <v>24309.800000000003</v>
      </c>
      <c r="F17" s="24">
        <f>1.06*21825</f>
        <v>23134.5</v>
      </c>
    </row>
    <row r="18" spans="1:7" ht="18" customHeight="1" x14ac:dyDescent="0.3">
      <c r="A18" s="7"/>
      <c r="B18" s="6" t="s">
        <v>15</v>
      </c>
      <c r="C18" s="24">
        <f>1.06*24015+4</f>
        <v>25459.9</v>
      </c>
      <c r="D18" s="24">
        <f>1.06*22930+4</f>
        <v>24309.800000000003</v>
      </c>
      <c r="E18" s="24">
        <f>1.06*21825</f>
        <v>23134.5</v>
      </c>
      <c r="F18" s="24">
        <f>1.06*21495</f>
        <v>22784.7</v>
      </c>
    </row>
    <row r="19" spans="1:7" ht="33.75" customHeight="1" x14ac:dyDescent="0.3">
      <c r="A19" s="9">
        <v>2</v>
      </c>
      <c r="B19" s="6" t="s">
        <v>460</v>
      </c>
      <c r="C19" s="25"/>
      <c r="D19" s="25"/>
      <c r="E19" s="25"/>
      <c r="F19" s="25"/>
    </row>
    <row r="20" spans="1:7" ht="18" customHeight="1" x14ac:dyDescent="0.3">
      <c r="A20" s="10"/>
      <c r="B20" s="6" t="s">
        <v>14</v>
      </c>
      <c r="C20" s="24">
        <f>1.06*23890+2</f>
        <v>25325.4</v>
      </c>
      <c r="D20" s="24">
        <f>1.06*22805+2</f>
        <v>24175.300000000003</v>
      </c>
      <c r="E20" s="24">
        <f>1.06*21715+2</f>
        <v>23019.9</v>
      </c>
      <c r="F20" s="24">
        <f>1.06*20640+2</f>
        <v>21880.400000000001</v>
      </c>
    </row>
    <row r="21" spans="1:7" ht="18" customHeight="1" x14ac:dyDescent="0.3">
      <c r="A21" s="7"/>
      <c r="B21" s="6" t="s">
        <v>15</v>
      </c>
      <c r="C21" s="24">
        <f>1.06*22805+2</f>
        <v>24175.300000000003</v>
      </c>
      <c r="D21" s="24">
        <f>1.06*21715+2</f>
        <v>23019.9</v>
      </c>
      <c r="E21" s="24">
        <f>1.06*20640+2</f>
        <v>21880.400000000001</v>
      </c>
      <c r="F21" s="24">
        <f>1.06*19540+3</f>
        <v>20715.400000000001</v>
      </c>
    </row>
    <row r="22" spans="1:7" ht="48.75" customHeight="1" x14ac:dyDescent="0.3">
      <c r="A22" s="92">
        <v>3</v>
      </c>
      <c r="B22" s="6" t="s">
        <v>461</v>
      </c>
      <c r="C22" s="25"/>
      <c r="D22" s="25"/>
      <c r="E22" s="25"/>
      <c r="F22" s="25"/>
    </row>
    <row r="23" spans="1:7" ht="18" customHeight="1" x14ac:dyDescent="0.3">
      <c r="A23" s="93"/>
      <c r="B23" s="6" t="s">
        <v>14</v>
      </c>
      <c r="C23" s="24">
        <f>1.06*24290+3</f>
        <v>25750.400000000001</v>
      </c>
      <c r="D23" s="24">
        <f>1.06*23130+2</f>
        <v>24519.800000000003</v>
      </c>
      <c r="E23" s="24">
        <f>1.06*21980+1</f>
        <v>23299.800000000003</v>
      </c>
      <c r="F23" s="24">
        <f>1.06*20815+1</f>
        <v>22064.9</v>
      </c>
    </row>
    <row r="24" spans="1:7" ht="18" customHeight="1" x14ac:dyDescent="0.3">
      <c r="A24" s="94"/>
      <c r="B24" s="6" t="s">
        <v>15</v>
      </c>
      <c r="C24" s="24">
        <f>1.06*23130+2</f>
        <v>24519.800000000003</v>
      </c>
      <c r="D24" s="24">
        <f>1.06*21980+1</f>
        <v>23299.800000000003</v>
      </c>
      <c r="E24" s="24">
        <f>1.06*20815+1</f>
        <v>22064.9</v>
      </c>
      <c r="F24" s="24">
        <f>1.06*20585+5</f>
        <v>21825.100000000002</v>
      </c>
    </row>
    <row r="25" spans="1:7" ht="46.5" customHeight="1" x14ac:dyDescent="0.3">
      <c r="A25" s="14">
        <v>4</v>
      </c>
      <c r="B25" s="6" t="s">
        <v>17</v>
      </c>
      <c r="C25" s="24">
        <f>1.06*22040+3</f>
        <v>23365.4</v>
      </c>
      <c r="D25" s="24">
        <f>1.06*21045+2</f>
        <v>22309.7</v>
      </c>
      <c r="E25" s="24">
        <f>1.06*20050+2</f>
        <v>21255</v>
      </c>
      <c r="F25" s="24">
        <f>1.06*19040+3</f>
        <v>20185.400000000001</v>
      </c>
    </row>
    <row r="26" spans="1:7" x14ac:dyDescent="0.3">
      <c r="A26" s="3"/>
      <c r="B26" s="3"/>
      <c r="C26" s="3"/>
      <c r="D26" s="3"/>
      <c r="E26" s="3"/>
      <c r="F26" s="3"/>
      <c r="G26" s="3"/>
    </row>
    <row r="27" spans="1:7" ht="15.6" x14ac:dyDescent="0.3">
      <c r="A27" s="4"/>
    </row>
  </sheetData>
  <mergeCells count="7">
    <mergeCell ref="C13:F13"/>
    <mergeCell ref="A22:A24"/>
    <mergeCell ref="A7:F7"/>
    <mergeCell ref="A9:F9"/>
    <mergeCell ref="A10:F10"/>
    <mergeCell ref="A11:F11"/>
    <mergeCell ref="C12:F12"/>
  </mergeCells>
  <pageMargins left="0.70866141732283472" right="0.70866141732283472" top="0.74803149606299213" bottom="0.74803149606299213" header="0.31496062992125984" footer="0.31496062992125984"/>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73"/>
  <sheetViews>
    <sheetView topLeftCell="A263" workbookViewId="0">
      <selection activeCell="B276" sqref="B276"/>
    </sheetView>
  </sheetViews>
  <sheetFormatPr defaultRowHeight="14.4" x14ac:dyDescent="0.3"/>
  <cols>
    <col min="1" max="1" width="5.88671875" customWidth="1"/>
    <col min="2" max="2" width="72.5546875" customWidth="1"/>
    <col min="3" max="3" width="13.109375" style="13" customWidth="1"/>
  </cols>
  <sheetData>
    <row r="1" spans="1:4" x14ac:dyDescent="0.3">
      <c r="C1" s="70" t="s">
        <v>513</v>
      </c>
    </row>
    <row r="2" spans="1:4" ht="15.6" x14ac:dyDescent="0.3">
      <c r="A2" s="40"/>
      <c r="C2" s="70" t="s">
        <v>511</v>
      </c>
    </row>
    <row r="3" spans="1:4" ht="15.6" x14ac:dyDescent="0.3">
      <c r="A3" s="40"/>
      <c r="C3" s="70" t="s">
        <v>512</v>
      </c>
    </row>
    <row r="4" spans="1:4" ht="15.6" x14ac:dyDescent="0.3">
      <c r="A4" s="40"/>
      <c r="C4" s="70" t="s">
        <v>510</v>
      </c>
    </row>
    <row r="5" spans="1:4" ht="15.6" customHeight="1" x14ac:dyDescent="0.3">
      <c r="A5" s="63"/>
      <c r="C5" s="70" t="s">
        <v>19</v>
      </c>
    </row>
    <row r="6" spans="1:4" ht="15.6" x14ac:dyDescent="0.3">
      <c r="B6" s="63" t="s">
        <v>182</v>
      </c>
      <c r="C6" s="68"/>
    </row>
    <row r="7" spans="1:4" ht="15.6" x14ac:dyDescent="0.3">
      <c r="B7" s="63" t="s">
        <v>508</v>
      </c>
      <c r="C7" s="68"/>
    </row>
    <row r="8" spans="1:4" ht="15.6" x14ac:dyDescent="0.3">
      <c r="B8" s="63" t="s">
        <v>507</v>
      </c>
      <c r="C8" s="68"/>
    </row>
    <row r="9" spans="1:4" ht="15.6" x14ac:dyDescent="0.3">
      <c r="B9" s="63" t="s">
        <v>183</v>
      </c>
      <c r="C9" s="68"/>
    </row>
    <row r="10" spans="1:4" ht="6.6" customHeight="1" x14ac:dyDescent="0.25">
      <c r="A10" s="19"/>
      <c r="C10" s="68"/>
    </row>
    <row r="11" spans="1:4" ht="48.75" customHeight="1" x14ac:dyDescent="0.3">
      <c r="A11" s="66" t="s">
        <v>184</v>
      </c>
      <c r="B11" s="66" t="s">
        <v>185</v>
      </c>
      <c r="C11" s="69" t="s">
        <v>413</v>
      </c>
      <c r="D11" s="65"/>
    </row>
    <row r="12" spans="1:4" s="13" customFormat="1" ht="15.75" x14ac:dyDescent="0.25">
      <c r="A12" s="23">
        <v>1</v>
      </c>
      <c r="B12" s="23">
        <v>2</v>
      </c>
      <c r="C12" s="23">
        <v>3</v>
      </c>
      <c r="D12" s="15"/>
    </row>
    <row r="13" spans="1:4" s="50" customFormat="1" ht="21.6" customHeight="1" x14ac:dyDescent="0.3">
      <c r="A13" s="71" t="s">
        <v>176</v>
      </c>
      <c r="B13" s="71" t="s">
        <v>186</v>
      </c>
      <c r="C13" s="72"/>
      <c r="D13" s="73"/>
    </row>
    <row r="14" spans="1:4" ht="15.6" x14ac:dyDescent="0.3">
      <c r="A14" s="66" t="s">
        <v>187</v>
      </c>
      <c r="B14" s="66" t="s">
        <v>188</v>
      </c>
      <c r="C14" s="24">
        <f>1.06*7955+3</f>
        <v>8435.3000000000011</v>
      </c>
      <c r="D14" s="64"/>
    </row>
    <row r="15" spans="1:4" ht="15.6" x14ac:dyDescent="0.3">
      <c r="A15" s="139" t="s">
        <v>189</v>
      </c>
      <c r="B15" s="66" t="s">
        <v>190</v>
      </c>
      <c r="C15" s="24"/>
      <c r="D15" s="64"/>
    </row>
    <row r="16" spans="1:4" ht="28.5" customHeight="1" x14ac:dyDescent="0.3">
      <c r="A16" s="139"/>
      <c r="B16" s="66" t="s">
        <v>191</v>
      </c>
      <c r="C16" s="24">
        <f>1.06*7955+3</f>
        <v>8435.3000000000011</v>
      </c>
      <c r="D16" s="64"/>
    </row>
    <row r="17" spans="1:4" ht="28.5" customHeight="1" x14ac:dyDescent="0.3">
      <c r="A17" s="139"/>
      <c r="B17" s="66" t="s">
        <v>192</v>
      </c>
      <c r="C17" s="24">
        <f>1.06*8500</f>
        <v>9010</v>
      </c>
      <c r="D17" s="64"/>
    </row>
    <row r="18" spans="1:4" ht="15.6" x14ac:dyDescent="0.3">
      <c r="A18" s="139" t="s">
        <v>193</v>
      </c>
      <c r="B18" s="66" t="s">
        <v>194</v>
      </c>
      <c r="C18" s="24"/>
      <c r="D18" s="64"/>
    </row>
    <row r="19" spans="1:4" ht="15.6" x14ac:dyDescent="0.3">
      <c r="A19" s="139"/>
      <c r="B19" s="66" t="s">
        <v>195</v>
      </c>
      <c r="C19" s="24">
        <f>1.06*7955+3</f>
        <v>8435.3000000000011</v>
      </c>
      <c r="D19" s="64"/>
    </row>
    <row r="20" spans="1:4" ht="15.6" x14ac:dyDescent="0.3">
      <c r="A20" s="139"/>
      <c r="B20" s="66" t="s">
        <v>196</v>
      </c>
      <c r="C20" s="24">
        <f>1.06*8500</f>
        <v>9010</v>
      </c>
      <c r="D20" s="64"/>
    </row>
    <row r="21" spans="1:4" ht="15.6" x14ac:dyDescent="0.3">
      <c r="A21" s="139" t="s">
        <v>197</v>
      </c>
      <c r="B21" s="66" t="s">
        <v>506</v>
      </c>
      <c r="C21" s="24"/>
      <c r="D21" s="64"/>
    </row>
    <row r="22" spans="1:4" ht="15.6" x14ac:dyDescent="0.3">
      <c r="A22" s="139"/>
      <c r="B22" s="66" t="s">
        <v>198</v>
      </c>
      <c r="C22" s="24">
        <f>1.06*16445+3</f>
        <v>17434.7</v>
      </c>
      <c r="D22" s="64"/>
    </row>
    <row r="23" spans="1:4" ht="15.6" x14ac:dyDescent="0.3">
      <c r="A23" s="139"/>
      <c r="B23" s="66" t="s">
        <v>199</v>
      </c>
      <c r="C23" s="24">
        <f>1.06*14520+4</f>
        <v>15395.2</v>
      </c>
      <c r="D23" s="64"/>
    </row>
    <row r="24" spans="1:4" ht="15.6" x14ac:dyDescent="0.3">
      <c r="A24" s="139"/>
      <c r="B24" s="66" t="s">
        <v>200</v>
      </c>
      <c r="C24" s="24">
        <f>1.06*13545+2</f>
        <v>14359.7</v>
      </c>
      <c r="D24" s="64"/>
    </row>
    <row r="25" spans="1:4" ht="15.6" x14ac:dyDescent="0.3">
      <c r="A25" s="139" t="s">
        <v>201</v>
      </c>
      <c r="B25" s="66" t="s">
        <v>202</v>
      </c>
      <c r="C25" s="24"/>
      <c r="D25" s="64"/>
    </row>
    <row r="26" spans="1:4" ht="15.6" x14ac:dyDescent="0.3">
      <c r="A26" s="139"/>
      <c r="B26" s="66" t="s">
        <v>203</v>
      </c>
      <c r="C26" s="24">
        <f>1.06*8500</f>
        <v>9010</v>
      </c>
      <c r="D26" s="64"/>
    </row>
    <row r="27" spans="1:4" ht="15.6" x14ac:dyDescent="0.3">
      <c r="A27" s="139"/>
      <c r="B27" s="66" t="s">
        <v>204</v>
      </c>
      <c r="C27" s="24">
        <f t="shared" ref="C27" si="0">1.06*9035+3</f>
        <v>9580.1</v>
      </c>
      <c r="D27" s="64"/>
    </row>
    <row r="28" spans="1:4" ht="15.6" x14ac:dyDescent="0.3">
      <c r="A28" s="66" t="s">
        <v>205</v>
      </c>
      <c r="B28" s="66" t="s">
        <v>206</v>
      </c>
      <c r="C28" s="24">
        <f>1.06*8500</f>
        <v>9010</v>
      </c>
      <c r="D28" s="64"/>
    </row>
    <row r="29" spans="1:4" ht="15.6" x14ac:dyDescent="0.3">
      <c r="A29" s="66" t="s">
        <v>207</v>
      </c>
      <c r="B29" s="66" t="s">
        <v>208</v>
      </c>
      <c r="C29" s="24">
        <f>1.06*8500</f>
        <v>9010</v>
      </c>
      <c r="D29" s="64"/>
    </row>
    <row r="30" spans="1:4" ht="15.6" x14ac:dyDescent="0.3">
      <c r="A30" s="139" t="s">
        <v>209</v>
      </c>
      <c r="B30" s="66" t="s">
        <v>210</v>
      </c>
      <c r="C30" s="24"/>
      <c r="D30" s="64"/>
    </row>
    <row r="31" spans="1:4" ht="15.6" x14ac:dyDescent="0.3">
      <c r="A31" s="139"/>
      <c r="B31" s="66" t="s">
        <v>211</v>
      </c>
      <c r="C31" s="24">
        <f>1.06*8500</f>
        <v>9010</v>
      </c>
      <c r="D31" s="64"/>
    </row>
    <row r="32" spans="1:4" ht="15.6" x14ac:dyDescent="0.3">
      <c r="A32" s="139"/>
      <c r="B32" s="66" t="s">
        <v>212</v>
      </c>
      <c r="C32" s="24">
        <f t="shared" ref="C32:C33" si="1">1.06*9035+3</f>
        <v>9580.1</v>
      </c>
      <c r="D32" s="64"/>
    </row>
    <row r="33" spans="1:4" ht="21" customHeight="1" x14ac:dyDescent="0.3">
      <c r="A33" s="66" t="s">
        <v>213</v>
      </c>
      <c r="B33" s="66" t="s">
        <v>214</v>
      </c>
      <c r="C33" s="24">
        <f t="shared" si="1"/>
        <v>9580.1</v>
      </c>
      <c r="D33" s="64"/>
    </row>
    <row r="34" spans="1:4" ht="21" customHeight="1" x14ac:dyDescent="0.3">
      <c r="A34" s="66" t="s">
        <v>215</v>
      </c>
      <c r="B34" s="66" t="s">
        <v>216</v>
      </c>
      <c r="C34" s="24">
        <f>1.06*9880+2</f>
        <v>10474.800000000001</v>
      </c>
      <c r="D34" s="64"/>
    </row>
    <row r="35" spans="1:4" ht="21" customHeight="1" x14ac:dyDescent="0.3">
      <c r="A35" s="66" t="s">
        <v>217</v>
      </c>
      <c r="B35" s="66" t="s">
        <v>218</v>
      </c>
      <c r="C35" s="24">
        <f>1.06*8500</f>
        <v>9010</v>
      </c>
      <c r="D35" s="64"/>
    </row>
    <row r="36" spans="1:4" ht="21" customHeight="1" x14ac:dyDescent="0.3">
      <c r="A36" s="66" t="s">
        <v>219</v>
      </c>
      <c r="B36" s="66" t="s">
        <v>220</v>
      </c>
      <c r="C36" s="24">
        <f>1.06*8500</f>
        <v>9010</v>
      </c>
      <c r="D36" s="64"/>
    </row>
    <row r="37" spans="1:4" ht="21" customHeight="1" x14ac:dyDescent="0.3">
      <c r="A37" s="66" t="s">
        <v>221</v>
      </c>
      <c r="B37" s="66" t="s">
        <v>222</v>
      </c>
      <c r="C37" s="24">
        <f>1.06*8500</f>
        <v>9010</v>
      </c>
      <c r="D37" s="64"/>
    </row>
    <row r="38" spans="1:4" ht="21" customHeight="1" x14ac:dyDescent="0.3">
      <c r="A38" s="66" t="s">
        <v>223</v>
      </c>
      <c r="B38" s="66" t="s">
        <v>224</v>
      </c>
      <c r="C38" s="24">
        <f>1.06*9035+3</f>
        <v>9580.1</v>
      </c>
      <c r="D38" s="64"/>
    </row>
    <row r="39" spans="1:4" ht="15.6" x14ac:dyDescent="0.3">
      <c r="A39" s="139" t="s">
        <v>225</v>
      </c>
      <c r="B39" s="66" t="s">
        <v>505</v>
      </c>
      <c r="C39" s="24"/>
      <c r="D39" s="65"/>
    </row>
    <row r="40" spans="1:4" ht="15.6" x14ac:dyDescent="0.3">
      <c r="A40" s="139"/>
      <c r="B40" s="66" t="s">
        <v>198</v>
      </c>
      <c r="C40" s="24">
        <f>1.06*20310+1</f>
        <v>21529.600000000002</v>
      </c>
      <c r="D40" s="64"/>
    </row>
    <row r="41" spans="1:4" ht="15.6" x14ac:dyDescent="0.3">
      <c r="A41" s="139"/>
      <c r="B41" s="66" t="s">
        <v>199</v>
      </c>
      <c r="C41" s="24">
        <f>1.06*19350+4</f>
        <v>20515</v>
      </c>
      <c r="D41" s="64"/>
    </row>
    <row r="42" spans="1:4" ht="15.6" x14ac:dyDescent="0.3">
      <c r="A42" s="139"/>
      <c r="B42" s="66" t="s">
        <v>200</v>
      </c>
      <c r="C42" s="24">
        <f>1.06*17410</f>
        <v>18454.600000000002</v>
      </c>
      <c r="D42" s="64"/>
    </row>
    <row r="43" spans="1:4" ht="15.6" x14ac:dyDescent="0.3">
      <c r="A43" s="139"/>
      <c r="B43" s="66" t="s">
        <v>226</v>
      </c>
      <c r="C43" s="24">
        <f>1.06*15480+1</f>
        <v>16409.8</v>
      </c>
      <c r="D43" s="64"/>
    </row>
    <row r="44" spans="1:4" ht="15.6" x14ac:dyDescent="0.3">
      <c r="A44" s="139" t="s">
        <v>227</v>
      </c>
      <c r="B44" s="66" t="s">
        <v>504</v>
      </c>
      <c r="C44" s="24"/>
      <c r="D44" s="65"/>
    </row>
    <row r="45" spans="1:4" ht="15.6" x14ac:dyDescent="0.3">
      <c r="A45" s="139"/>
      <c r="B45" s="66" t="s">
        <v>198</v>
      </c>
      <c r="C45" s="24">
        <f>1.06*20310+1</f>
        <v>21529.600000000002</v>
      </c>
      <c r="D45" s="64"/>
    </row>
    <row r="46" spans="1:4" ht="15.6" x14ac:dyDescent="0.3">
      <c r="A46" s="139"/>
      <c r="B46" s="66" t="s">
        <v>199</v>
      </c>
      <c r="C46" s="24">
        <f>1.06*19350+4</f>
        <v>20515</v>
      </c>
      <c r="D46" s="64"/>
    </row>
    <row r="47" spans="1:4" ht="15.6" x14ac:dyDescent="0.3">
      <c r="A47" s="139"/>
      <c r="B47" s="66" t="s">
        <v>200</v>
      </c>
      <c r="C47" s="24">
        <f>1.06*17410</f>
        <v>18454.600000000002</v>
      </c>
      <c r="D47" s="64"/>
    </row>
    <row r="48" spans="1:4" ht="15.6" x14ac:dyDescent="0.3">
      <c r="A48" s="139"/>
      <c r="B48" s="66" t="s">
        <v>228</v>
      </c>
      <c r="C48" s="24">
        <f>1.06*15480+1</f>
        <v>16409.8</v>
      </c>
      <c r="D48" s="64"/>
    </row>
    <row r="49" spans="1:4" ht="15.6" x14ac:dyDescent="0.3">
      <c r="A49" s="139" t="s">
        <v>229</v>
      </c>
      <c r="B49" s="66" t="s">
        <v>502</v>
      </c>
      <c r="C49" s="24"/>
      <c r="D49" s="65"/>
    </row>
    <row r="50" spans="1:4" ht="15.6" x14ac:dyDescent="0.3">
      <c r="A50" s="139"/>
      <c r="B50" s="66" t="s">
        <v>198</v>
      </c>
      <c r="C50" s="24">
        <f>1.06*20310+1</f>
        <v>21529.600000000002</v>
      </c>
      <c r="D50" s="64"/>
    </row>
    <row r="51" spans="1:4" ht="15.6" x14ac:dyDescent="0.3">
      <c r="A51" s="139"/>
      <c r="B51" s="66" t="s">
        <v>199</v>
      </c>
      <c r="C51" s="24">
        <f>1.06*19350+4</f>
        <v>20515</v>
      </c>
      <c r="D51" s="64"/>
    </row>
    <row r="52" spans="1:4" ht="15.6" x14ac:dyDescent="0.3">
      <c r="A52" s="139"/>
      <c r="B52" s="66" t="s">
        <v>200</v>
      </c>
      <c r="C52" s="24">
        <f>1.06*17410</f>
        <v>18454.600000000002</v>
      </c>
      <c r="D52" s="64"/>
    </row>
    <row r="53" spans="1:4" ht="15.6" x14ac:dyDescent="0.3">
      <c r="A53" s="139"/>
      <c r="B53" s="66" t="s">
        <v>228</v>
      </c>
      <c r="C53" s="24">
        <f>1.06*15480+1</f>
        <v>16409.8</v>
      </c>
      <c r="D53" s="64"/>
    </row>
    <row r="54" spans="1:4" ht="15.6" x14ac:dyDescent="0.3">
      <c r="A54" s="139" t="s">
        <v>230</v>
      </c>
      <c r="B54" s="66" t="s">
        <v>503</v>
      </c>
      <c r="C54" s="24"/>
      <c r="D54" s="64"/>
    </row>
    <row r="55" spans="1:4" ht="15.6" x14ac:dyDescent="0.3">
      <c r="A55" s="139"/>
      <c r="B55" s="66" t="s">
        <v>198</v>
      </c>
      <c r="C55" s="24">
        <f>1.06*20310+1</f>
        <v>21529.600000000002</v>
      </c>
      <c r="D55" s="64"/>
    </row>
    <row r="56" spans="1:4" ht="15.6" x14ac:dyDescent="0.3">
      <c r="A56" s="139"/>
      <c r="B56" s="66" t="s">
        <v>199</v>
      </c>
      <c r="C56" s="24">
        <f>1.06*19350+4</f>
        <v>20515</v>
      </c>
      <c r="D56" s="64"/>
    </row>
    <row r="57" spans="1:4" ht="15.6" x14ac:dyDescent="0.3">
      <c r="A57" s="139"/>
      <c r="B57" s="66" t="s">
        <v>200</v>
      </c>
      <c r="C57" s="24">
        <f>1.06*17410</f>
        <v>18454.600000000002</v>
      </c>
      <c r="D57" s="64"/>
    </row>
    <row r="58" spans="1:4" ht="15.6" x14ac:dyDescent="0.3">
      <c r="A58" s="139" t="s">
        <v>231</v>
      </c>
      <c r="B58" s="66" t="s">
        <v>501</v>
      </c>
      <c r="C58" s="24"/>
      <c r="D58" s="64"/>
    </row>
    <row r="59" spans="1:4" ht="15.6" x14ac:dyDescent="0.3">
      <c r="A59" s="139"/>
      <c r="B59" s="66" t="s">
        <v>198</v>
      </c>
      <c r="C59" s="24">
        <f>1.06*19350+4</f>
        <v>20515</v>
      </c>
      <c r="D59" s="64"/>
    </row>
    <row r="60" spans="1:4" ht="15.6" x14ac:dyDescent="0.3">
      <c r="A60" s="139"/>
      <c r="B60" s="66" t="s">
        <v>199</v>
      </c>
      <c r="C60" s="24">
        <f>1.06*18385+2</f>
        <v>19490.100000000002</v>
      </c>
      <c r="D60" s="64"/>
    </row>
    <row r="61" spans="1:4" ht="15.6" x14ac:dyDescent="0.3">
      <c r="A61" s="139"/>
      <c r="B61" s="66" t="s">
        <v>200</v>
      </c>
      <c r="C61" s="24">
        <f>1.06*17410</f>
        <v>18454.600000000002</v>
      </c>
      <c r="D61" s="64"/>
    </row>
    <row r="62" spans="1:4" ht="15.6" x14ac:dyDescent="0.3">
      <c r="A62" s="139" t="s">
        <v>232</v>
      </c>
      <c r="B62" s="66" t="s">
        <v>500</v>
      </c>
      <c r="C62" s="24"/>
      <c r="D62" s="64"/>
    </row>
    <row r="63" spans="1:4" ht="15.6" x14ac:dyDescent="0.3">
      <c r="A63" s="139"/>
      <c r="B63" s="66" t="s">
        <v>198</v>
      </c>
      <c r="C63" s="24">
        <f>1.06*14325</f>
        <v>15184.5</v>
      </c>
      <c r="D63" s="64"/>
    </row>
    <row r="64" spans="1:4" ht="15.6" x14ac:dyDescent="0.3">
      <c r="A64" s="139"/>
      <c r="B64" s="66" t="s">
        <v>199</v>
      </c>
      <c r="C64" s="24">
        <f>1.06*11815+1</f>
        <v>12524.900000000001</v>
      </c>
      <c r="D64" s="64"/>
    </row>
    <row r="65" spans="1:4" ht="15.6" x14ac:dyDescent="0.3">
      <c r="A65" s="139"/>
      <c r="B65" s="66" t="s">
        <v>200</v>
      </c>
      <c r="C65" s="24">
        <f>1.06*9880+2</f>
        <v>10474.800000000001</v>
      </c>
      <c r="D65" s="64"/>
    </row>
    <row r="66" spans="1:4" ht="15.6" x14ac:dyDescent="0.3">
      <c r="A66" s="139" t="s">
        <v>233</v>
      </c>
      <c r="B66" s="66" t="s">
        <v>499</v>
      </c>
      <c r="C66" s="24"/>
      <c r="D66" s="64"/>
    </row>
    <row r="67" spans="1:4" ht="15.6" x14ac:dyDescent="0.3">
      <c r="A67" s="139"/>
      <c r="B67" s="66" t="s">
        <v>198</v>
      </c>
      <c r="C67" s="24">
        <f>1.06*14710+2</f>
        <v>15594.6</v>
      </c>
      <c r="D67" s="64"/>
    </row>
    <row r="68" spans="1:4" ht="15.6" x14ac:dyDescent="0.3">
      <c r="A68" s="139"/>
      <c r="B68" s="66" t="s">
        <v>199</v>
      </c>
      <c r="C68" s="24">
        <f>1.06*13165</f>
        <v>13954.900000000001</v>
      </c>
      <c r="D68" s="64"/>
    </row>
    <row r="69" spans="1:4" ht="15.6" x14ac:dyDescent="0.3">
      <c r="A69" s="139"/>
      <c r="B69" s="66" t="s">
        <v>200</v>
      </c>
      <c r="C69" s="24">
        <f>1.06*10850+4</f>
        <v>11505</v>
      </c>
      <c r="D69" s="64"/>
    </row>
    <row r="70" spans="1:4" ht="15.6" x14ac:dyDescent="0.3">
      <c r="A70" s="139" t="s">
        <v>234</v>
      </c>
      <c r="B70" s="66" t="s">
        <v>498</v>
      </c>
      <c r="C70" s="24"/>
      <c r="D70" s="64"/>
    </row>
    <row r="71" spans="1:4" ht="15.6" x14ac:dyDescent="0.3">
      <c r="A71" s="139"/>
      <c r="B71" s="66" t="s">
        <v>198</v>
      </c>
      <c r="C71" s="24">
        <f>1.06*18385+2</f>
        <v>19490.100000000002</v>
      </c>
      <c r="D71" s="64"/>
    </row>
    <row r="72" spans="1:4" ht="15.6" x14ac:dyDescent="0.3">
      <c r="A72" s="139"/>
      <c r="B72" s="66" t="s">
        <v>199</v>
      </c>
      <c r="C72" s="24">
        <f>1.06*16445+3</f>
        <v>17434.7</v>
      </c>
      <c r="D72" s="64"/>
    </row>
    <row r="73" spans="1:4" ht="15.6" x14ac:dyDescent="0.3">
      <c r="A73" s="139"/>
      <c r="B73" s="66" t="s">
        <v>200</v>
      </c>
      <c r="C73" s="24">
        <f>1.06*13545+2</f>
        <v>14359.7</v>
      </c>
      <c r="D73" s="64"/>
    </row>
    <row r="74" spans="1:4" ht="15.6" x14ac:dyDescent="0.3">
      <c r="A74" s="66" t="s">
        <v>235</v>
      </c>
      <c r="B74" s="66" t="s">
        <v>236</v>
      </c>
      <c r="C74" s="24">
        <f>1.06*10850+4</f>
        <v>11505</v>
      </c>
      <c r="D74" s="64"/>
    </row>
    <row r="75" spans="1:4" ht="15.6" x14ac:dyDescent="0.3">
      <c r="A75" s="139" t="s">
        <v>237</v>
      </c>
      <c r="B75" s="66" t="s">
        <v>497</v>
      </c>
      <c r="C75" s="24"/>
      <c r="D75" s="65"/>
    </row>
    <row r="76" spans="1:4" ht="15.6" x14ac:dyDescent="0.3">
      <c r="A76" s="139"/>
      <c r="B76" s="66" t="s">
        <v>198</v>
      </c>
      <c r="C76" s="24">
        <f>1.06*20310+1</f>
        <v>21529.600000000002</v>
      </c>
      <c r="D76" s="64"/>
    </row>
    <row r="77" spans="1:4" ht="15.6" x14ac:dyDescent="0.3">
      <c r="A77" s="139"/>
      <c r="B77" s="66" t="s">
        <v>199</v>
      </c>
      <c r="C77" s="24">
        <f>1.06*19350+4</f>
        <v>20515</v>
      </c>
      <c r="D77" s="64"/>
    </row>
    <row r="78" spans="1:4" ht="15.6" x14ac:dyDescent="0.3">
      <c r="A78" s="139"/>
      <c r="B78" s="66" t="s">
        <v>200</v>
      </c>
      <c r="C78" s="24">
        <f>1.06*18385+2</f>
        <v>19490.100000000002</v>
      </c>
      <c r="D78" s="64"/>
    </row>
    <row r="79" spans="1:4" ht="15.6" x14ac:dyDescent="0.3">
      <c r="A79" s="139"/>
      <c r="B79" s="66" t="s">
        <v>228</v>
      </c>
      <c r="C79" s="24">
        <f>1.06*17410</f>
        <v>18454.600000000002</v>
      </c>
      <c r="D79" s="64"/>
    </row>
    <row r="80" spans="1:4" ht="31.2" x14ac:dyDescent="0.3">
      <c r="A80" s="139" t="s">
        <v>238</v>
      </c>
      <c r="B80" s="66" t="s">
        <v>239</v>
      </c>
      <c r="C80" s="24"/>
      <c r="D80" s="64"/>
    </row>
    <row r="81" spans="1:4" ht="15.6" x14ac:dyDescent="0.3">
      <c r="A81" s="139"/>
      <c r="B81" s="66" t="s">
        <v>198</v>
      </c>
      <c r="C81" s="24">
        <f>1.06*18385+2</f>
        <v>19490.100000000002</v>
      </c>
      <c r="D81" s="64"/>
    </row>
    <row r="82" spans="1:4" ht="15.6" x14ac:dyDescent="0.3">
      <c r="A82" s="139"/>
      <c r="B82" s="66" t="s">
        <v>199</v>
      </c>
      <c r="C82" s="24">
        <f>1.06*16445+3</f>
        <v>17434.7</v>
      </c>
      <c r="D82" s="64"/>
    </row>
    <row r="83" spans="1:4" ht="15.6" x14ac:dyDescent="0.3">
      <c r="A83" s="139"/>
      <c r="B83" s="66" t="s">
        <v>200</v>
      </c>
      <c r="C83" s="24">
        <f>1.06*14520+4</f>
        <v>15395.2</v>
      </c>
      <c r="D83" s="64"/>
    </row>
    <row r="84" spans="1:4" s="50" customFormat="1" ht="16.8" customHeight="1" x14ac:dyDescent="0.3">
      <c r="A84" s="71" t="s">
        <v>414</v>
      </c>
      <c r="B84" s="71" t="s">
        <v>240</v>
      </c>
      <c r="C84" s="76"/>
      <c r="D84" s="73"/>
    </row>
    <row r="85" spans="1:4" ht="19.5" customHeight="1" x14ac:dyDescent="0.3">
      <c r="A85" s="139" t="s">
        <v>241</v>
      </c>
      <c r="B85" s="66" t="s">
        <v>242</v>
      </c>
      <c r="C85" s="24"/>
      <c r="D85" s="64"/>
    </row>
    <row r="86" spans="1:4" ht="28.5" customHeight="1" x14ac:dyDescent="0.3">
      <c r="A86" s="139"/>
      <c r="B86" s="66" t="s">
        <v>243</v>
      </c>
      <c r="C86" s="24">
        <f>1.06*118151</f>
        <v>125240.06000000001</v>
      </c>
      <c r="D86" s="64"/>
    </row>
    <row r="87" spans="1:4" ht="15.6" x14ac:dyDescent="0.3">
      <c r="A87" s="139"/>
      <c r="B87" s="66" t="s">
        <v>244</v>
      </c>
      <c r="C87" s="24">
        <f>1.06*10850+4</f>
        <v>11505</v>
      </c>
      <c r="D87" s="64"/>
    </row>
    <row r="88" spans="1:4" ht="15.6" x14ac:dyDescent="0.3">
      <c r="A88" s="139"/>
      <c r="B88" s="66" t="s">
        <v>245</v>
      </c>
      <c r="C88" s="24">
        <f>1.06*9035+3</f>
        <v>9580.1</v>
      </c>
      <c r="D88" s="64"/>
    </row>
    <row r="89" spans="1:4" ht="22.5" customHeight="1" x14ac:dyDescent="0.3">
      <c r="A89" s="139" t="s">
        <v>246</v>
      </c>
      <c r="B89" s="66" t="s">
        <v>247</v>
      </c>
      <c r="C89" s="24"/>
      <c r="D89" s="64"/>
    </row>
    <row r="90" spans="1:4" ht="15.6" x14ac:dyDescent="0.3">
      <c r="A90" s="139"/>
      <c r="B90" s="66" t="s">
        <v>248</v>
      </c>
      <c r="C90" s="24">
        <f>1.06*14710+2</f>
        <v>15594.6</v>
      </c>
      <c r="D90" s="64"/>
    </row>
    <row r="91" spans="1:4" ht="15.6" x14ac:dyDescent="0.3">
      <c r="A91" s="139"/>
      <c r="B91" s="66" t="s">
        <v>249</v>
      </c>
      <c r="C91" s="24">
        <f>1.06*14325</f>
        <v>15184.5</v>
      </c>
      <c r="D91" s="64"/>
    </row>
    <row r="92" spans="1:4" ht="15.6" x14ac:dyDescent="0.3">
      <c r="A92" s="139"/>
      <c r="B92" s="66" t="s">
        <v>250</v>
      </c>
      <c r="C92" s="24">
        <f>1.06*13165</f>
        <v>13954.900000000001</v>
      </c>
      <c r="D92" s="64"/>
    </row>
    <row r="93" spans="1:4" ht="15.75" customHeight="1" x14ac:dyDescent="0.3">
      <c r="A93" s="139"/>
      <c r="B93" s="66" t="s">
        <v>251</v>
      </c>
      <c r="C93" s="24" t="s">
        <v>525</v>
      </c>
      <c r="D93" s="64"/>
    </row>
    <row r="94" spans="1:4" ht="15.6" x14ac:dyDescent="0.3">
      <c r="A94" s="139" t="s">
        <v>252</v>
      </c>
      <c r="B94" s="66" t="s">
        <v>253</v>
      </c>
      <c r="C94" s="24"/>
      <c r="D94" s="64"/>
    </row>
    <row r="95" spans="1:4" ht="15.6" x14ac:dyDescent="0.3">
      <c r="A95" s="139"/>
      <c r="B95" s="66" t="s">
        <v>248</v>
      </c>
      <c r="C95" s="24">
        <f>1.06*14710+2</f>
        <v>15594.6</v>
      </c>
      <c r="D95" s="64"/>
    </row>
    <row r="96" spans="1:4" ht="15.6" x14ac:dyDescent="0.3">
      <c r="A96" s="139"/>
      <c r="B96" s="66" t="s">
        <v>249</v>
      </c>
      <c r="C96" s="24">
        <f>1.06*14325</f>
        <v>15184.5</v>
      </c>
      <c r="D96" s="64"/>
    </row>
    <row r="97" spans="1:4" ht="15.6" x14ac:dyDescent="0.3">
      <c r="A97" s="139"/>
      <c r="B97" s="66" t="s">
        <v>254</v>
      </c>
      <c r="C97" s="24">
        <f>1.06*13165</f>
        <v>13954.900000000001</v>
      </c>
      <c r="D97" s="64"/>
    </row>
    <row r="98" spans="1:4" ht="15.6" x14ac:dyDescent="0.3">
      <c r="A98" s="139"/>
      <c r="B98" s="66" t="s">
        <v>255</v>
      </c>
      <c r="C98" s="24">
        <f>1.06*11815+1</f>
        <v>12524.900000000001</v>
      </c>
      <c r="D98" s="64"/>
    </row>
    <row r="99" spans="1:4" ht="15.6" x14ac:dyDescent="0.3">
      <c r="A99" s="139" t="s">
        <v>256</v>
      </c>
      <c r="B99" s="66" t="s">
        <v>257</v>
      </c>
      <c r="C99" s="24"/>
      <c r="D99" s="64"/>
    </row>
    <row r="100" spans="1:4" ht="15.6" x14ac:dyDescent="0.3">
      <c r="A100" s="139"/>
      <c r="B100" s="66" t="s">
        <v>258</v>
      </c>
      <c r="C100" s="24">
        <f>1.06*17220+2</f>
        <v>18255.2</v>
      </c>
      <c r="D100" s="64"/>
    </row>
    <row r="101" spans="1:4" ht="15.6" x14ac:dyDescent="0.3">
      <c r="A101" s="139"/>
      <c r="B101" s="66" t="s">
        <v>249</v>
      </c>
      <c r="C101" s="24">
        <f>1.06*15675+4</f>
        <v>16619.5</v>
      </c>
      <c r="D101" s="64"/>
    </row>
    <row r="102" spans="1:4" ht="15.6" x14ac:dyDescent="0.3">
      <c r="A102" s="139"/>
      <c r="B102" s="66" t="s">
        <v>250</v>
      </c>
      <c r="C102" s="24">
        <f>1.06*14710+2</f>
        <v>15594.6</v>
      </c>
      <c r="D102" s="64"/>
    </row>
    <row r="103" spans="1:4" ht="17.25" customHeight="1" x14ac:dyDescent="0.3">
      <c r="A103" s="139"/>
      <c r="B103" s="66" t="s">
        <v>259</v>
      </c>
      <c r="C103" s="24" t="s">
        <v>526</v>
      </c>
      <c r="D103" s="64"/>
    </row>
    <row r="104" spans="1:4" ht="15.6" x14ac:dyDescent="0.3">
      <c r="A104" s="139" t="s">
        <v>260</v>
      </c>
      <c r="B104" s="66" t="s">
        <v>261</v>
      </c>
      <c r="C104" s="24"/>
      <c r="D104" s="64"/>
    </row>
    <row r="105" spans="1:4" ht="15.6" x14ac:dyDescent="0.3">
      <c r="A105" s="139"/>
      <c r="B105" s="66" t="s">
        <v>262</v>
      </c>
      <c r="C105" s="24">
        <f>1.06*9035+3</f>
        <v>9580.1</v>
      </c>
      <c r="D105" s="64"/>
    </row>
    <row r="106" spans="1:4" ht="15.6" x14ac:dyDescent="0.3">
      <c r="A106" s="139"/>
      <c r="B106" s="66" t="s">
        <v>263</v>
      </c>
      <c r="C106" s="24">
        <f>1.06*8500</f>
        <v>9010</v>
      </c>
      <c r="D106" s="64"/>
    </row>
    <row r="107" spans="1:4" ht="15.6" x14ac:dyDescent="0.3">
      <c r="A107" s="139" t="s">
        <v>264</v>
      </c>
      <c r="B107" s="66" t="s">
        <v>265</v>
      </c>
      <c r="C107" s="24"/>
      <c r="D107" s="64"/>
    </row>
    <row r="108" spans="1:4" ht="15.6" x14ac:dyDescent="0.3">
      <c r="A108" s="139"/>
      <c r="B108" s="66" t="s">
        <v>266</v>
      </c>
      <c r="C108" s="24">
        <f>1.06*14710+2</f>
        <v>15594.6</v>
      </c>
      <c r="D108" s="20"/>
    </row>
    <row r="109" spans="1:4" ht="15.6" x14ac:dyDescent="0.3">
      <c r="A109" s="139"/>
      <c r="B109" s="66" t="s">
        <v>267</v>
      </c>
      <c r="C109" s="24">
        <f>1.06*14325</f>
        <v>15184.5</v>
      </c>
      <c r="D109" s="20"/>
    </row>
    <row r="110" spans="1:4" ht="15.6" x14ac:dyDescent="0.3">
      <c r="A110" s="139"/>
      <c r="B110" s="66" t="s">
        <v>268</v>
      </c>
      <c r="C110" s="24">
        <f>1.06*13165</f>
        <v>13954.900000000001</v>
      </c>
      <c r="D110" s="20"/>
    </row>
    <row r="111" spans="1:4" ht="15.6" x14ac:dyDescent="0.3">
      <c r="A111" s="139"/>
      <c r="B111" s="66" t="s">
        <v>269</v>
      </c>
      <c r="C111" s="24">
        <f>1.06*11815+1</f>
        <v>12524.900000000001</v>
      </c>
      <c r="D111" s="20"/>
    </row>
    <row r="112" spans="1:4" ht="15.6" x14ac:dyDescent="0.3">
      <c r="A112" s="139" t="s">
        <v>270</v>
      </c>
      <c r="B112" s="66" t="s">
        <v>271</v>
      </c>
      <c r="C112" s="24"/>
      <c r="D112" s="20"/>
    </row>
    <row r="113" spans="1:4" ht="15.6" x14ac:dyDescent="0.3">
      <c r="A113" s="139"/>
      <c r="B113" s="66" t="s">
        <v>272</v>
      </c>
      <c r="C113" s="24">
        <f>1.06*14710+2</f>
        <v>15594.6</v>
      </c>
      <c r="D113" s="20"/>
    </row>
    <row r="114" spans="1:4" ht="15.6" x14ac:dyDescent="0.3">
      <c r="A114" s="139"/>
      <c r="B114" s="66" t="s">
        <v>273</v>
      </c>
      <c r="C114" s="24">
        <f>1.06*14325</f>
        <v>15184.5</v>
      </c>
      <c r="D114" s="20"/>
    </row>
    <row r="115" spans="1:4" ht="15.6" x14ac:dyDescent="0.3">
      <c r="A115" s="139"/>
      <c r="B115" s="66" t="s">
        <v>274</v>
      </c>
      <c r="C115" s="24">
        <f>1.06*13165</f>
        <v>13954.900000000001</v>
      </c>
      <c r="D115" s="20"/>
    </row>
    <row r="116" spans="1:4" ht="15.6" x14ac:dyDescent="0.3">
      <c r="A116" s="139"/>
      <c r="B116" s="66" t="s">
        <v>275</v>
      </c>
      <c r="C116" s="24">
        <f>1.06*11815+1</f>
        <v>12524.900000000001</v>
      </c>
      <c r="D116" s="20"/>
    </row>
    <row r="117" spans="1:4" ht="15.6" x14ac:dyDescent="0.3">
      <c r="A117" s="139" t="s">
        <v>276</v>
      </c>
      <c r="B117" s="66" t="s">
        <v>277</v>
      </c>
      <c r="C117" s="24"/>
      <c r="D117" s="20"/>
    </row>
    <row r="118" spans="1:4" ht="15.6" x14ac:dyDescent="0.3">
      <c r="A118" s="139"/>
      <c r="B118" s="66" t="s">
        <v>272</v>
      </c>
      <c r="C118" s="24">
        <f>1.06*14710+2</f>
        <v>15594.6</v>
      </c>
      <c r="D118" s="20"/>
    </row>
    <row r="119" spans="1:4" ht="15.6" x14ac:dyDescent="0.3">
      <c r="A119" s="139"/>
      <c r="B119" s="66" t="s">
        <v>273</v>
      </c>
      <c r="C119" s="24">
        <f>1.06*14325</f>
        <v>15184.5</v>
      </c>
      <c r="D119" s="20"/>
    </row>
    <row r="120" spans="1:4" ht="15.6" x14ac:dyDescent="0.3">
      <c r="A120" s="139"/>
      <c r="B120" s="66" t="s">
        <v>274</v>
      </c>
      <c r="C120" s="24">
        <f>1.06*13165</f>
        <v>13954.900000000001</v>
      </c>
      <c r="D120" s="20"/>
    </row>
    <row r="121" spans="1:4" ht="15.6" x14ac:dyDescent="0.3">
      <c r="A121" s="139"/>
      <c r="B121" s="66" t="s">
        <v>275</v>
      </c>
      <c r="C121" s="24">
        <f>1.06*11815+1</f>
        <v>12524.900000000001</v>
      </c>
      <c r="D121" s="20"/>
    </row>
    <row r="122" spans="1:4" ht="15" customHeight="1" x14ac:dyDescent="0.3">
      <c r="A122" s="139" t="s">
        <v>278</v>
      </c>
      <c r="B122" s="66" t="s">
        <v>279</v>
      </c>
      <c r="C122" s="24"/>
      <c r="D122" s="20"/>
    </row>
    <row r="123" spans="1:4" ht="15.6" x14ac:dyDescent="0.3">
      <c r="A123" s="139"/>
      <c r="B123" s="66" t="s">
        <v>272</v>
      </c>
      <c r="C123" s="24">
        <f>1.06*14710+2</f>
        <v>15594.6</v>
      </c>
      <c r="D123" s="20"/>
    </row>
    <row r="124" spans="1:4" ht="15.6" x14ac:dyDescent="0.3">
      <c r="A124" s="139"/>
      <c r="B124" s="66" t="s">
        <v>273</v>
      </c>
      <c r="C124" s="24">
        <f>1.06*14325</f>
        <v>15184.5</v>
      </c>
      <c r="D124" s="20"/>
    </row>
    <row r="125" spans="1:4" ht="15.6" x14ac:dyDescent="0.3">
      <c r="A125" s="139"/>
      <c r="B125" s="66" t="s">
        <v>274</v>
      </c>
      <c r="C125" s="24">
        <f>1.06*13165</f>
        <v>13954.900000000001</v>
      </c>
      <c r="D125" s="20"/>
    </row>
    <row r="126" spans="1:4" ht="15.6" x14ac:dyDescent="0.3">
      <c r="A126" s="139"/>
      <c r="B126" s="66" t="s">
        <v>275</v>
      </c>
      <c r="C126" s="24">
        <f>1.06*11815+1</f>
        <v>12524.900000000001</v>
      </c>
      <c r="D126" s="20"/>
    </row>
    <row r="127" spans="1:4" ht="17.399999999999999" customHeight="1" x14ac:dyDescent="0.3">
      <c r="A127" s="139" t="s">
        <v>280</v>
      </c>
      <c r="B127" s="66" t="s">
        <v>527</v>
      </c>
      <c r="C127" s="24">
        <v>21255</v>
      </c>
      <c r="D127" s="20"/>
    </row>
    <row r="128" spans="1:4" ht="15.6" x14ac:dyDescent="0.3">
      <c r="A128" s="139"/>
      <c r="B128" s="66" t="s">
        <v>528</v>
      </c>
      <c r="C128" s="24"/>
      <c r="D128" s="20"/>
    </row>
    <row r="129" spans="1:4" ht="15.6" x14ac:dyDescent="0.3">
      <c r="A129" s="139"/>
      <c r="B129" s="66" t="s">
        <v>529</v>
      </c>
      <c r="C129" s="24">
        <f>1.06*14325</f>
        <v>15184.5</v>
      </c>
      <c r="D129" s="20"/>
    </row>
    <row r="130" spans="1:4" ht="15.6" x14ac:dyDescent="0.3">
      <c r="A130" s="139"/>
      <c r="B130" s="66" t="s">
        <v>530</v>
      </c>
      <c r="C130" s="24">
        <f>1.06*13165</f>
        <v>13954.900000000001</v>
      </c>
      <c r="D130" s="20"/>
    </row>
    <row r="131" spans="1:4" ht="15.6" x14ac:dyDescent="0.3">
      <c r="A131" s="139"/>
      <c r="B131" s="66" t="s">
        <v>531</v>
      </c>
      <c r="C131" s="24">
        <f>1.06*11815+1</f>
        <v>12524.900000000001</v>
      </c>
      <c r="D131" s="20"/>
    </row>
    <row r="132" spans="1:4" ht="27.6" customHeight="1" x14ac:dyDescent="0.3">
      <c r="A132" s="139" t="s">
        <v>281</v>
      </c>
      <c r="B132" s="66" t="s">
        <v>416</v>
      </c>
      <c r="C132" s="24"/>
      <c r="D132" s="65"/>
    </row>
    <row r="133" spans="1:4" ht="15.6" x14ac:dyDescent="0.3">
      <c r="A133" s="139"/>
      <c r="B133" s="66" t="s">
        <v>282</v>
      </c>
      <c r="C133" s="24">
        <f>1.06*9035+3</f>
        <v>9580.1</v>
      </c>
      <c r="D133" s="64"/>
    </row>
    <row r="134" spans="1:4" ht="15.6" x14ac:dyDescent="0.3">
      <c r="A134" s="139"/>
      <c r="B134" s="66" t="s">
        <v>283</v>
      </c>
      <c r="C134" s="24">
        <f>1.06*8500</f>
        <v>9010</v>
      </c>
      <c r="D134" s="64"/>
    </row>
    <row r="135" spans="1:4" ht="18.75" customHeight="1" x14ac:dyDescent="0.3">
      <c r="A135" s="139" t="s">
        <v>284</v>
      </c>
      <c r="B135" s="66" t="s">
        <v>285</v>
      </c>
      <c r="C135" s="24"/>
      <c r="D135" s="64"/>
    </row>
    <row r="136" spans="1:4" ht="15.6" x14ac:dyDescent="0.3">
      <c r="A136" s="139"/>
      <c r="B136" s="66" t="s">
        <v>258</v>
      </c>
      <c r="C136" s="24">
        <f>1.06*17220+2</f>
        <v>18255.2</v>
      </c>
      <c r="D136" s="64"/>
    </row>
    <row r="137" spans="1:4" ht="15.6" x14ac:dyDescent="0.3">
      <c r="A137" s="139"/>
      <c r="B137" s="66" t="s">
        <v>249</v>
      </c>
      <c r="C137" s="24">
        <f>1.06*15675+4</f>
        <v>16619.5</v>
      </c>
      <c r="D137" s="64"/>
    </row>
    <row r="138" spans="1:4" ht="15.6" x14ac:dyDescent="0.3">
      <c r="A138" s="139"/>
      <c r="B138" s="66" t="s">
        <v>250</v>
      </c>
      <c r="C138" s="24">
        <f>1.06*14710+2</f>
        <v>15594.6</v>
      </c>
      <c r="D138" s="64"/>
    </row>
    <row r="139" spans="1:4" ht="17.25" customHeight="1" x14ac:dyDescent="0.3">
      <c r="A139" s="139"/>
      <c r="B139" s="66" t="s">
        <v>286</v>
      </c>
      <c r="C139" s="24" t="s">
        <v>526</v>
      </c>
      <c r="D139" s="64"/>
    </row>
    <row r="140" spans="1:4" ht="14.4" customHeight="1" x14ac:dyDescent="0.3">
      <c r="A140" s="139" t="s">
        <v>287</v>
      </c>
      <c r="B140" s="66" t="s">
        <v>288</v>
      </c>
      <c r="C140" s="24"/>
      <c r="D140" s="65"/>
    </row>
    <row r="141" spans="1:4" ht="15.6" x14ac:dyDescent="0.3">
      <c r="A141" s="139"/>
      <c r="B141" s="66" t="s">
        <v>289</v>
      </c>
      <c r="C141" s="24">
        <f>1.06*9035+3</f>
        <v>9580.1</v>
      </c>
      <c r="D141" s="64"/>
    </row>
    <row r="142" spans="1:4" ht="15.6" x14ac:dyDescent="0.3">
      <c r="A142" s="139"/>
      <c r="B142" s="66" t="s">
        <v>290</v>
      </c>
      <c r="C142" s="24">
        <f>1.06*8500</f>
        <v>9010</v>
      </c>
      <c r="D142" s="64"/>
    </row>
    <row r="143" spans="1:4" ht="15.6" x14ac:dyDescent="0.3">
      <c r="A143" s="139" t="s">
        <v>291</v>
      </c>
      <c r="B143" s="66" t="s">
        <v>292</v>
      </c>
      <c r="C143" s="24"/>
      <c r="D143" s="64"/>
    </row>
    <row r="144" spans="1:4" ht="15.6" x14ac:dyDescent="0.3">
      <c r="A144" s="139"/>
      <c r="B144" s="66" t="s">
        <v>258</v>
      </c>
      <c r="C144" s="24">
        <f>1.06*17220+2</f>
        <v>18255.2</v>
      </c>
      <c r="D144" s="64"/>
    </row>
    <row r="145" spans="1:4" ht="15.6" x14ac:dyDescent="0.3">
      <c r="A145" s="139"/>
      <c r="B145" s="66" t="s">
        <v>249</v>
      </c>
      <c r="C145" s="24">
        <f>1.06*15675+4</f>
        <v>16619.5</v>
      </c>
      <c r="D145" s="64"/>
    </row>
    <row r="146" spans="1:4" ht="15.6" x14ac:dyDescent="0.3">
      <c r="A146" s="139"/>
      <c r="B146" s="66" t="s">
        <v>250</v>
      </c>
      <c r="C146" s="24">
        <f>1.06*14710+2</f>
        <v>15594.6</v>
      </c>
      <c r="D146" s="64"/>
    </row>
    <row r="147" spans="1:4" ht="17.25" customHeight="1" x14ac:dyDescent="0.3">
      <c r="A147" s="139"/>
      <c r="B147" s="66" t="s">
        <v>293</v>
      </c>
      <c r="C147" s="24" t="s">
        <v>526</v>
      </c>
      <c r="D147" s="64"/>
    </row>
    <row r="148" spans="1:4" ht="15.6" x14ac:dyDescent="0.3">
      <c r="A148" s="139" t="s">
        <v>294</v>
      </c>
      <c r="B148" s="66" t="s">
        <v>295</v>
      </c>
      <c r="C148" s="24"/>
      <c r="D148" s="64"/>
    </row>
    <row r="149" spans="1:4" ht="15.6" x14ac:dyDescent="0.3">
      <c r="A149" s="139"/>
      <c r="B149" s="66" t="s">
        <v>296</v>
      </c>
      <c r="C149" s="24">
        <f>1.06*14710+2</f>
        <v>15594.6</v>
      </c>
      <c r="D149" s="64"/>
    </row>
    <row r="150" spans="1:4" ht="15.6" x14ac:dyDescent="0.3">
      <c r="A150" s="139"/>
      <c r="B150" s="66" t="s">
        <v>297</v>
      </c>
      <c r="C150" s="24">
        <f>1.06*14325</f>
        <v>15184.5</v>
      </c>
      <c r="D150" s="64"/>
    </row>
    <row r="151" spans="1:4" ht="15.6" x14ac:dyDescent="0.3">
      <c r="A151" s="139"/>
      <c r="B151" s="66" t="s">
        <v>298</v>
      </c>
      <c r="C151" s="24">
        <f>1.06*13165</f>
        <v>13954.900000000001</v>
      </c>
      <c r="D151" s="64"/>
    </row>
    <row r="152" spans="1:4" ht="15.6" x14ac:dyDescent="0.3">
      <c r="A152" s="139"/>
      <c r="B152" s="66" t="s">
        <v>299</v>
      </c>
      <c r="C152" s="24">
        <f>1.06*11815+1</f>
        <v>12524.900000000001</v>
      </c>
      <c r="D152" s="64"/>
    </row>
    <row r="153" spans="1:4" ht="15.75" customHeight="1" x14ac:dyDescent="0.3">
      <c r="A153" s="139" t="s">
        <v>300</v>
      </c>
      <c r="B153" s="66" t="s">
        <v>301</v>
      </c>
      <c r="C153" s="24"/>
      <c r="D153" s="65"/>
    </row>
    <row r="154" spans="1:4" ht="15.6" x14ac:dyDescent="0.3">
      <c r="A154" s="139"/>
      <c r="B154" s="66" t="s">
        <v>258</v>
      </c>
      <c r="C154" s="24">
        <f>1.06*14710+2</f>
        <v>15594.6</v>
      </c>
      <c r="D154" s="64"/>
    </row>
    <row r="155" spans="1:4" ht="15.6" x14ac:dyDescent="0.3">
      <c r="A155" s="139"/>
      <c r="B155" s="66" t="s">
        <v>249</v>
      </c>
      <c r="C155" s="24">
        <f>1.06*14325</f>
        <v>15184.5</v>
      </c>
      <c r="D155" s="64"/>
    </row>
    <row r="156" spans="1:4" ht="15.6" x14ac:dyDescent="0.3">
      <c r="A156" s="139"/>
      <c r="B156" s="66" t="s">
        <v>250</v>
      </c>
      <c r="C156" s="24">
        <f>1.06*13165</f>
        <v>13954.900000000001</v>
      </c>
      <c r="D156" s="64"/>
    </row>
    <row r="157" spans="1:4" ht="15.6" x14ac:dyDescent="0.3">
      <c r="A157" s="139"/>
      <c r="B157" s="66" t="s">
        <v>302</v>
      </c>
      <c r="C157" s="24">
        <f>1.06*11815+1</f>
        <v>12524.900000000001</v>
      </c>
      <c r="D157" s="64"/>
    </row>
    <row r="158" spans="1:4" ht="15.6" x14ac:dyDescent="0.3">
      <c r="A158" s="139" t="s">
        <v>303</v>
      </c>
      <c r="B158" s="66" t="s">
        <v>304</v>
      </c>
      <c r="C158" s="24"/>
      <c r="D158" s="64"/>
    </row>
    <row r="159" spans="1:4" ht="15.6" x14ac:dyDescent="0.3">
      <c r="A159" s="139"/>
      <c r="B159" s="66" t="s">
        <v>305</v>
      </c>
      <c r="C159" s="24">
        <f>1.06*17220+2</f>
        <v>18255.2</v>
      </c>
      <c r="D159" s="64"/>
    </row>
    <row r="160" spans="1:4" ht="15.6" x14ac:dyDescent="0.3">
      <c r="A160" s="139"/>
      <c r="B160" s="66" t="s">
        <v>249</v>
      </c>
      <c r="C160" s="24">
        <f>1.06*15675+4</f>
        <v>16619.5</v>
      </c>
      <c r="D160" s="64"/>
    </row>
    <row r="161" spans="1:4" ht="15.6" x14ac:dyDescent="0.3">
      <c r="A161" s="139"/>
      <c r="B161" s="66" t="s">
        <v>250</v>
      </c>
      <c r="C161" s="24">
        <f>1.06*14710+2</f>
        <v>15594.6</v>
      </c>
      <c r="D161" s="64"/>
    </row>
    <row r="162" spans="1:4" ht="18.75" customHeight="1" x14ac:dyDescent="0.3">
      <c r="A162" s="139"/>
      <c r="B162" s="66" t="s">
        <v>306</v>
      </c>
      <c r="C162" s="24" t="s">
        <v>526</v>
      </c>
      <c r="D162" s="64"/>
    </row>
    <row r="163" spans="1:4" ht="15.6" x14ac:dyDescent="0.3">
      <c r="A163" s="139" t="s">
        <v>307</v>
      </c>
      <c r="B163" s="66" t="s">
        <v>308</v>
      </c>
      <c r="C163" s="24"/>
      <c r="D163" s="64"/>
    </row>
    <row r="164" spans="1:4" ht="15.6" x14ac:dyDescent="0.3">
      <c r="A164" s="139"/>
      <c r="B164" s="66" t="s">
        <v>258</v>
      </c>
      <c r="C164" s="24">
        <f>1.06*14710+2</f>
        <v>15594.6</v>
      </c>
      <c r="D164" s="64"/>
    </row>
    <row r="165" spans="1:4" ht="15.6" x14ac:dyDescent="0.3">
      <c r="A165" s="139"/>
      <c r="B165" s="66" t="s">
        <v>249</v>
      </c>
      <c r="C165" s="24">
        <f>1.06*14325</f>
        <v>15184.5</v>
      </c>
      <c r="D165" s="64"/>
    </row>
    <row r="166" spans="1:4" ht="15.6" x14ac:dyDescent="0.3">
      <c r="A166" s="139"/>
      <c r="B166" s="66" t="s">
        <v>250</v>
      </c>
      <c r="C166" s="24">
        <f>1.06*13165</f>
        <v>13954.900000000001</v>
      </c>
      <c r="D166" s="64"/>
    </row>
    <row r="167" spans="1:4" ht="15.6" x14ac:dyDescent="0.3">
      <c r="A167" s="139"/>
      <c r="B167" s="66" t="s">
        <v>309</v>
      </c>
      <c r="C167" s="24">
        <f>1.06*11815+1</f>
        <v>12524.900000000001</v>
      </c>
      <c r="D167" s="64"/>
    </row>
    <row r="168" spans="1:4" ht="15.6" x14ac:dyDescent="0.3">
      <c r="A168" s="139" t="s">
        <v>310</v>
      </c>
      <c r="B168" s="66" t="s">
        <v>311</v>
      </c>
      <c r="C168" s="24"/>
      <c r="D168" s="64"/>
    </row>
    <row r="169" spans="1:4" ht="15.6" x14ac:dyDescent="0.3">
      <c r="A169" s="139"/>
      <c r="B169" s="66" t="s">
        <v>258</v>
      </c>
      <c r="C169" s="24">
        <f>1.06*14710+2</f>
        <v>15594.6</v>
      </c>
      <c r="D169" s="64"/>
    </row>
    <row r="170" spans="1:4" ht="15.6" x14ac:dyDescent="0.3">
      <c r="A170" s="139"/>
      <c r="B170" s="66" t="s">
        <v>249</v>
      </c>
      <c r="C170" s="24">
        <f>1.06*14325</f>
        <v>15184.5</v>
      </c>
      <c r="D170" s="64"/>
    </row>
    <row r="171" spans="1:4" ht="15.6" x14ac:dyDescent="0.3">
      <c r="A171" s="139"/>
      <c r="B171" s="66" t="s">
        <v>250</v>
      </c>
      <c r="C171" s="24">
        <f>1.06*13165</f>
        <v>13954.900000000001</v>
      </c>
      <c r="D171" s="64"/>
    </row>
    <row r="172" spans="1:4" ht="15.6" x14ac:dyDescent="0.3">
      <c r="A172" s="139"/>
      <c r="B172" s="66" t="s">
        <v>312</v>
      </c>
      <c r="C172" s="24">
        <f>1.06*11815+1</f>
        <v>12524.900000000001</v>
      </c>
      <c r="D172" s="64"/>
    </row>
    <row r="173" spans="1:4" ht="15.6" x14ac:dyDescent="0.3">
      <c r="A173" s="139" t="s">
        <v>313</v>
      </c>
      <c r="B173" s="66" t="s">
        <v>314</v>
      </c>
      <c r="C173" s="24"/>
      <c r="D173" s="64"/>
    </row>
    <row r="174" spans="1:4" ht="15.6" x14ac:dyDescent="0.3">
      <c r="A174" s="139"/>
      <c r="B174" s="66" t="s">
        <v>315</v>
      </c>
      <c r="C174" s="24">
        <f>1.06*11815+1</f>
        <v>12524.900000000001</v>
      </c>
      <c r="D174" s="64"/>
    </row>
    <row r="175" spans="1:4" ht="15.6" x14ac:dyDescent="0.3">
      <c r="A175" s="139"/>
      <c r="B175" s="66" t="s">
        <v>316</v>
      </c>
      <c r="C175" s="24">
        <f>1.06*10850+4</f>
        <v>11505</v>
      </c>
      <c r="D175" s="64"/>
    </row>
    <row r="176" spans="1:4" ht="15.6" x14ac:dyDescent="0.3">
      <c r="A176" s="139"/>
      <c r="B176" s="66" t="s">
        <v>211</v>
      </c>
      <c r="C176" s="24">
        <f>1.06*9880+2</f>
        <v>10474.800000000001</v>
      </c>
      <c r="D176" s="64"/>
    </row>
    <row r="177" spans="1:4" ht="14.4" customHeight="1" x14ac:dyDescent="0.3">
      <c r="A177" s="139" t="s">
        <v>317</v>
      </c>
      <c r="B177" s="66" t="s">
        <v>318</v>
      </c>
      <c r="C177" s="24"/>
      <c r="D177" s="64"/>
    </row>
    <row r="178" spans="1:4" ht="14.4" customHeight="1" x14ac:dyDescent="0.3">
      <c r="A178" s="139"/>
      <c r="B178" s="66" t="s">
        <v>258</v>
      </c>
      <c r="C178" s="24">
        <f>1.06*14710+2</f>
        <v>15594.6</v>
      </c>
      <c r="D178" s="64"/>
    </row>
    <row r="179" spans="1:4" ht="14.4" customHeight="1" x14ac:dyDescent="0.3">
      <c r="A179" s="139"/>
      <c r="B179" s="66" t="s">
        <v>249</v>
      </c>
      <c r="C179" s="24">
        <f>1.06*14325</f>
        <v>15184.5</v>
      </c>
      <c r="D179" s="64"/>
    </row>
    <row r="180" spans="1:4" ht="14.4" customHeight="1" x14ac:dyDescent="0.3">
      <c r="A180" s="139"/>
      <c r="B180" s="66" t="s">
        <v>250</v>
      </c>
      <c r="C180" s="24">
        <f>1.06*13165</f>
        <v>13954.900000000001</v>
      </c>
      <c r="D180" s="64"/>
    </row>
    <row r="181" spans="1:4" ht="14.4" customHeight="1" x14ac:dyDescent="0.3">
      <c r="A181" s="139"/>
      <c r="B181" s="66" t="s">
        <v>319</v>
      </c>
      <c r="C181" s="24">
        <f>1.06*11815+1</f>
        <v>12524.900000000001</v>
      </c>
      <c r="D181" s="64"/>
    </row>
    <row r="182" spans="1:4" ht="21" customHeight="1" x14ac:dyDescent="0.3">
      <c r="A182" s="139" t="s">
        <v>320</v>
      </c>
      <c r="B182" s="66" t="s">
        <v>321</v>
      </c>
      <c r="C182" s="24"/>
      <c r="D182" s="64"/>
    </row>
    <row r="183" spans="1:4" ht="31.2" x14ac:dyDescent="0.3">
      <c r="A183" s="139"/>
      <c r="B183" s="66" t="s">
        <v>322</v>
      </c>
      <c r="C183" s="24">
        <f>1.06*11815+1</f>
        <v>12524.900000000001</v>
      </c>
      <c r="D183" s="64"/>
    </row>
    <row r="184" spans="1:4" ht="15.6" x14ac:dyDescent="0.3">
      <c r="A184" s="139"/>
      <c r="B184" s="66" t="s">
        <v>323</v>
      </c>
      <c r="C184" s="24">
        <f>1.06*10850+4</f>
        <v>11505</v>
      </c>
      <c r="D184" s="64"/>
    </row>
    <row r="185" spans="1:4" ht="15.6" x14ac:dyDescent="0.3">
      <c r="A185" s="139"/>
      <c r="B185" s="66" t="s">
        <v>324</v>
      </c>
      <c r="C185" s="24">
        <f>1.06*9880+2</f>
        <v>10474.800000000001</v>
      </c>
      <c r="D185" s="64"/>
    </row>
    <row r="186" spans="1:4" ht="15.6" x14ac:dyDescent="0.3">
      <c r="A186" s="139"/>
      <c r="B186" s="66" t="s">
        <v>325</v>
      </c>
      <c r="C186" s="24">
        <f>1.06*9035+3</f>
        <v>9580.1</v>
      </c>
      <c r="D186" s="64"/>
    </row>
    <row r="187" spans="1:4" ht="15.6" x14ac:dyDescent="0.3">
      <c r="A187" s="139" t="s">
        <v>326</v>
      </c>
      <c r="B187" s="66" t="s">
        <v>327</v>
      </c>
      <c r="C187" s="24"/>
      <c r="D187" s="64"/>
    </row>
    <row r="188" spans="1:4" ht="15.6" x14ac:dyDescent="0.3">
      <c r="A188" s="139"/>
      <c r="B188" s="66" t="s">
        <v>258</v>
      </c>
      <c r="C188" s="24">
        <f>1.06*17220+2</f>
        <v>18255.2</v>
      </c>
      <c r="D188" s="64"/>
    </row>
    <row r="189" spans="1:4" ht="15.6" x14ac:dyDescent="0.3">
      <c r="A189" s="139"/>
      <c r="B189" s="66" t="s">
        <v>249</v>
      </c>
      <c r="C189" s="24">
        <f>1.06*15675+4</f>
        <v>16619.5</v>
      </c>
      <c r="D189" s="64"/>
    </row>
    <row r="190" spans="1:4" ht="15.6" x14ac:dyDescent="0.3">
      <c r="A190" s="139"/>
      <c r="B190" s="66" t="s">
        <v>250</v>
      </c>
      <c r="C190" s="24">
        <f>1.06*14710+2</f>
        <v>15594.6</v>
      </c>
      <c r="D190" s="64"/>
    </row>
    <row r="191" spans="1:4" ht="16.5" customHeight="1" x14ac:dyDescent="0.3">
      <c r="A191" s="139"/>
      <c r="B191" s="66" t="s">
        <v>328</v>
      </c>
      <c r="C191" s="24" t="s">
        <v>526</v>
      </c>
      <c r="D191" s="64"/>
    </row>
    <row r="192" spans="1:4" ht="15.6" x14ac:dyDescent="0.3">
      <c r="A192" s="139" t="s">
        <v>329</v>
      </c>
      <c r="B192" s="66" t="s">
        <v>330</v>
      </c>
      <c r="C192" s="24"/>
      <c r="D192" s="64"/>
    </row>
    <row r="193" spans="1:4" ht="15.6" x14ac:dyDescent="0.3">
      <c r="A193" s="139"/>
      <c r="B193" s="66" t="s">
        <v>258</v>
      </c>
      <c r="C193" s="24">
        <f>1.06*14710+2</f>
        <v>15594.6</v>
      </c>
      <c r="D193" s="64"/>
    </row>
    <row r="194" spans="1:4" ht="15.6" x14ac:dyDescent="0.3">
      <c r="A194" s="139"/>
      <c r="B194" s="66" t="s">
        <v>249</v>
      </c>
      <c r="C194" s="24">
        <f>1.06*14325</f>
        <v>15184.5</v>
      </c>
      <c r="D194" s="64"/>
    </row>
    <row r="195" spans="1:4" ht="15.6" x14ac:dyDescent="0.3">
      <c r="A195" s="139"/>
      <c r="B195" s="66" t="s">
        <v>250</v>
      </c>
      <c r="C195" s="24">
        <f>1.06*13165</f>
        <v>13954.900000000001</v>
      </c>
      <c r="D195" s="64"/>
    </row>
    <row r="196" spans="1:4" ht="15.6" x14ac:dyDescent="0.3">
      <c r="A196" s="139"/>
      <c r="B196" s="66" t="s">
        <v>331</v>
      </c>
      <c r="C196" s="24">
        <f>1.06*11815+1</f>
        <v>12524.900000000001</v>
      </c>
      <c r="D196" s="64"/>
    </row>
    <row r="197" spans="1:4" ht="15.6" x14ac:dyDescent="0.3">
      <c r="A197" s="139" t="s">
        <v>332</v>
      </c>
      <c r="B197" s="66" t="s">
        <v>333</v>
      </c>
      <c r="C197" s="24"/>
      <c r="D197" s="64"/>
    </row>
    <row r="198" spans="1:4" ht="15.6" x14ac:dyDescent="0.3">
      <c r="A198" s="139"/>
      <c r="B198" s="66" t="s">
        <v>258</v>
      </c>
      <c r="C198" s="24">
        <f>1.06*14710+2</f>
        <v>15594.6</v>
      </c>
      <c r="D198" s="64"/>
    </row>
    <row r="199" spans="1:4" ht="15.6" x14ac:dyDescent="0.3">
      <c r="A199" s="139"/>
      <c r="B199" s="66" t="s">
        <v>249</v>
      </c>
      <c r="C199" s="24">
        <f>1.06*14325</f>
        <v>15184.5</v>
      </c>
      <c r="D199" s="64"/>
    </row>
    <row r="200" spans="1:4" ht="15.6" x14ac:dyDescent="0.3">
      <c r="A200" s="139"/>
      <c r="B200" s="66" t="s">
        <v>250</v>
      </c>
      <c r="C200" s="24">
        <f>1.06*13165</f>
        <v>13954.900000000001</v>
      </c>
      <c r="D200" s="64"/>
    </row>
    <row r="201" spans="1:4" ht="15.6" x14ac:dyDescent="0.3">
      <c r="A201" s="139"/>
      <c r="B201" s="66" t="s">
        <v>334</v>
      </c>
      <c r="C201" s="24">
        <f>1.06*11815+1</f>
        <v>12524.900000000001</v>
      </c>
      <c r="D201" s="64"/>
    </row>
    <row r="202" spans="1:4" ht="15.6" x14ac:dyDescent="0.3">
      <c r="A202" s="139" t="s">
        <v>335</v>
      </c>
      <c r="B202" s="66" t="s">
        <v>336</v>
      </c>
      <c r="C202" s="24"/>
      <c r="D202" s="64"/>
    </row>
    <row r="203" spans="1:4" ht="15.6" x14ac:dyDescent="0.3">
      <c r="A203" s="139"/>
      <c r="B203" s="66" t="s">
        <v>258</v>
      </c>
      <c r="C203" s="24">
        <f>1.06*14710+2</f>
        <v>15594.6</v>
      </c>
      <c r="D203" s="64"/>
    </row>
    <row r="204" spans="1:4" ht="15.6" x14ac:dyDescent="0.3">
      <c r="A204" s="139"/>
      <c r="B204" s="66" t="s">
        <v>249</v>
      </c>
      <c r="C204" s="24">
        <f>1.06*14325</f>
        <v>15184.5</v>
      </c>
      <c r="D204" s="64"/>
    </row>
    <row r="205" spans="1:4" ht="15.6" x14ac:dyDescent="0.3">
      <c r="A205" s="139"/>
      <c r="B205" s="66" t="s">
        <v>250</v>
      </c>
      <c r="C205" s="24">
        <f>1.06*13165</f>
        <v>13954.900000000001</v>
      </c>
      <c r="D205" s="64"/>
    </row>
    <row r="206" spans="1:4" ht="15.6" x14ac:dyDescent="0.3">
      <c r="A206" s="139"/>
      <c r="B206" s="66" t="s">
        <v>337</v>
      </c>
      <c r="C206" s="24">
        <f>1.06*11815+1</f>
        <v>12524.900000000001</v>
      </c>
      <c r="D206" s="64"/>
    </row>
    <row r="207" spans="1:4" ht="15.6" x14ac:dyDescent="0.3">
      <c r="A207" s="139" t="s">
        <v>338</v>
      </c>
      <c r="B207" s="66" t="s">
        <v>339</v>
      </c>
      <c r="C207" s="24"/>
      <c r="D207" s="64"/>
    </row>
    <row r="208" spans="1:4" ht="15.6" x14ac:dyDescent="0.3">
      <c r="A208" s="139"/>
      <c r="B208" s="66" t="s">
        <v>258</v>
      </c>
      <c r="C208" s="24">
        <f>1.06*14710+2</f>
        <v>15594.6</v>
      </c>
      <c r="D208" s="64"/>
    </row>
    <row r="209" spans="1:4" ht="15.6" x14ac:dyDescent="0.3">
      <c r="A209" s="139"/>
      <c r="B209" s="66" t="s">
        <v>249</v>
      </c>
      <c r="C209" s="24">
        <f>1.06*14325</f>
        <v>15184.5</v>
      </c>
      <c r="D209" s="64"/>
    </row>
    <row r="210" spans="1:4" ht="15.6" x14ac:dyDescent="0.3">
      <c r="A210" s="139"/>
      <c r="B210" s="66" t="s">
        <v>250</v>
      </c>
      <c r="C210" s="24">
        <f>1.06*13165</f>
        <v>13954.900000000001</v>
      </c>
      <c r="D210" s="64"/>
    </row>
    <row r="211" spans="1:4" ht="15.6" x14ac:dyDescent="0.3">
      <c r="A211" s="139"/>
      <c r="B211" s="66" t="s">
        <v>340</v>
      </c>
      <c r="C211" s="24">
        <f>1.06*11815+1</f>
        <v>12524.900000000001</v>
      </c>
      <c r="D211" s="64"/>
    </row>
    <row r="212" spans="1:4" ht="22.5" customHeight="1" x14ac:dyDescent="0.3">
      <c r="A212" s="139" t="s">
        <v>341</v>
      </c>
      <c r="B212" s="66" t="s">
        <v>342</v>
      </c>
      <c r="C212" s="24"/>
      <c r="D212" s="64"/>
    </row>
    <row r="213" spans="1:4" ht="15.6" x14ac:dyDescent="0.3">
      <c r="A213" s="139"/>
      <c r="B213" s="66" t="s">
        <v>258</v>
      </c>
      <c r="C213" s="24">
        <f>1.06*14710+2</f>
        <v>15594.6</v>
      </c>
      <c r="D213" s="64"/>
    </row>
    <row r="214" spans="1:4" ht="15.6" x14ac:dyDescent="0.3">
      <c r="A214" s="139"/>
      <c r="B214" s="66" t="s">
        <v>249</v>
      </c>
      <c r="C214" s="24">
        <f>1.06*14325</f>
        <v>15184.5</v>
      </c>
      <c r="D214" s="64"/>
    </row>
    <row r="215" spans="1:4" ht="15.6" x14ac:dyDescent="0.3">
      <c r="A215" s="139"/>
      <c r="B215" s="66" t="s">
        <v>250</v>
      </c>
      <c r="C215" s="24">
        <f>1.06*13165</f>
        <v>13954.900000000001</v>
      </c>
      <c r="D215" s="64"/>
    </row>
    <row r="216" spans="1:4" ht="15.6" x14ac:dyDescent="0.3">
      <c r="A216" s="139"/>
      <c r="B216" s="66" t="s">
        <v>343</v>
      </c>
      <c r="C216" s="24">
        <f>1.06*11815+1</f>
        <v>12524.900000000001</v>
      </c>
      <c r="D216" s="64"/>
    </row>
    <row r="217" spans="1:4" ht="24" customHeight="1" x14ac:dyDescent="0.3">
      <c r="A217" s="139" t="s">
        <v>344</v>
      </c>
      <c r="B217" s="66" t="s">
        <v>345</v>
      </c>
      <c r="C217" s="24"/>
      <c r="D217" s="64"/>
    </row>
    <row r="218" spans="1:4" ht="15.6" x14ac:dyDescent="0.3">
      <c r="A218" s="139"/>
      <c r="B218" s="66" t="s">
        <v>258</v>
      </c>
      <c r="C218" s="24">
        <f>1.06*17220+2</f>
        <v>18255.2</v>
      </c>
      <c r="D218" s="64"/>
    </row>
    <row r="219" spans="1:4" ht="15.6" x14ac:dyDescent="0.3">
      <c r="A219" s="139"/>
      <c r="B219" s="66" t="s">
        <v>249</v>
      </c>
      <c r="C219" s="24">
        <f>1.06*15675+4</f>
        <v>16619.5</v>
      </c>
      <c r="D219" s="64"/>
    </row>
    <row r="220" spans="1:4" ht="15.6" x14ac:dyDescent="0.3">
      <c r="A220" s="139"/>
      <c r="B220" s="66" t="s">
        <v>250</v>
      </c>
      <c r="C220" s="24">
        <f>1.06*14710+2</f>
        <v>15594.6</v>
      </c>
      <c r="D220" s="64"/>
    </row>
    <row r="221" spans="1:4" ht="17.25" customHeight="1" x14ac:dyDescent="0.3">
      <c r="A221" s="139"/>
      <c r="B221" s="66" t="s">
        <v>346</v>
      </c>
      <c r="C221" s="24" t="s">
        <v>526</v>
      </c>
      <c r="D221" s="64"/>
    </row>
    <row r="222" spans="1:4" ht="13.8" customHeight="1" x14ac:dyDescent="0.3">
      <c r="A222" s="139" t="s">
        <v>347</v>
      </c>
      <c r="B222" s="66" t="s">
        <v>348</v>
      </c>
      <c r="C222" s="24"/>
      <c r="D222" s="64"/>
    </row>
    <row r="223" spans="1:4" ht="15.6" x14ac:dyDescent="0.3">
      <c r="A223" s="139"/>
      <c r="B223" s="66" t="s">
        <v>258</v>
      </c>
      <c r="C223" s="24">
        <f>1.06*14710+2</f>
        <v>15594.6</v>
      </c>
      <c r="D223" s="64"/>
    </row>
    <row r="224" spans="1:4" ht="15.6" x14ac:dyDescent="0.3">
      <c r="A224" s="139"/>
      <c r="B224" s="66" t="s">
        <v>249</v>
      </c>
      <c r="C224" s="24">
        <f>1.06*14325</f>
        <v>15184.5</v>
      </c>
      <c r="D224" s="64"/>
    </row>
    <row r="225" spans="1:4" ht="15.6" x14ac:dyDescent="0.3">
      <c r="A225" s="139"/>
      <c r="B225" s="66" t="s">
        <v>254</v>
      </c>
      <c r="C225" s="24">
        <f>1.06*13165</f>
        <v>13954.900000000001</v>
      </c>
      <c r="D225" s="64"/>
    </row>
    <row r="226" spans="1:4" ht="15.6" x14ac:dyDescent="0.3">
      <c r="A226" s="139"/>
      <c r="B226" s="66" t="s">
        <v>349</v>
      </c>
      <c r="C226" s="24">
        <f>1.06*11815+1</f>
        <v>12524.900000000001</v>
      </c>
      <c r="D226" s="64"/>
    </row>
    <row r="227" spans="1:4" ht="21" customHeight="1" x14ac:dyDescent="0.3">
      <c r="A227" s="139" t="s">
        <v>350</v>
      </c>
      <c r="B227" s="66" t="s">
        <v>351</v>
      </c>
      <c r="C227" s="24"/>
      <c r="D227" s="64"/>
    </row>
    <row r="228" spans="1:4" ht="15.6" x14ac:dyDescent="0.3">
      <c r="A228" s="139"/>
      <c r="B228" s="66" t="s">
        <v>258</v>
      </c>
      <c r="C228" s="24">
        <f>1.06*14710+2</f>
        <v>15594.6</v>
      </c>
      <c r="D228" s="64"/>
    </row>
    <row r="229" spans="1:4" ht="15.6" x14ac:dyDescent="0.3">
      <c r="A229" s="139"/>
      <c r="B229" s="66" t="s">
        <v>249</v>
      </c>
      <c r="C229" s="24">
        <f>1.06*14325</f>
        <v>15184.5</v>
      </c>
      <c r="D229" s="64"/>
    </row>
    <row r="230" spans="1:4" ht="15.6" x14ac:dyDescent="0.3">
      <c r="A230" s="139"/>
      <c r="B230" s="66" t="s">
        <v>254</v>
      </c>
      <c r="C230" s="24">
        <f>1.06*13165</f>
        <v>13954.900000000001</v>
      </c>
      <c r="D230" s="64"/>
    </row>
    <row r="231" spans="1:4" ht="15.6" x14ac:dyDescent="0.3">
      <c r="A231" s="139"/>
      <c r="B231" s="66" t="s">
        <v>352</v>
      </c>
      <c r="C231" s="24">
        <f>1.06*11815+1</f>
        <v>12524.900000000001</v>
      </c>
      <c r="D231" s="64"/>
    </row>
    <row r="232" spans="1:4" ht="15.6" x14ac:dyDescent="0.3">
      <c r="A232" s="66" t="s">
        <v>353</v>
      </c>
      <c r="B232" s="66" t="s">
        <v>354</v>
      </c>
      <c r="C232" s="24">
        <f>1.06*10850+4</f>
        <v>11505</v>
      </c>
      <c r="D232" s="64"/>
    </row>
    <row r="233" spans="1:4" s="50" customFormat="1" ht="27" customHeight="1" x14ac:dyDescent="0.3">
      <c r="A233" s="71" t="s">
        <v>415</v>
      </c>
      <c r="B233" s="71" t="s">
        <v>355</v>
      </c>
      <c r="C233" s="76"/>
      <c r="D233" s="73"/>
    </row>
    <row r="234" spans="1:4" ht="15.6" x14ac:dyDescent="0.3">
      <c r="A234" s="66" t="s">
        <v>356</v>
      </c>
      <c r="B234" s="66" t="s">
        <v>357</v>
      </c>
      <c r="C234" s="24">
        <f>1.06*7955+3</f>
        <v>8435.3000000000011</v>
      </c>
      <c r="D234" s="64"/>
    </row>
    <row r="235" spans="1:4" ht="15.6" x14ac:dyDescent="0.3">
      <c r="A235" s="66" t="s">
        <v>358</v>
      </c>
      <c r="B235" s="66" t="s">
        <v>359</v>
      </c>
      <c r="C235" s="24">
        <f>1.06*8500</f>
        <v>9010</v>
      </c>
      <c r="D235" s="64"/>
    </row>
    <row r="236" spans="1:4" ht="15.6" x14ac:dyDescent="0.3">
      <c r="A236" s="66" t="s">
        <v>360</v>
      </c>
      <c r="B236" s="66" t="s">
        <v>361</v>
      </c>
      <c r="C236" s="24">
        <f>1.06*7485+1</f>
        <v>7935.1</v>
      </c>
      <c r="D236" s="64"/>
    </row>
    <row r="237" spans="1:4" ht="46.8" x14ac:dyDescent="0.3">
      <c r="A237" s="66" t="s">
        <v>362</v>
      </c>
      <c r="B237" s="66" t="s">
        <v>363</v>
      </c>
      <c r="C237" s="24">
        <f>1.06*8500</f>
        <v>9010</v>
      </c>
      <c r="D237" s="64"/>
    </row>
    <row r="238" spans="1:4" ht="15.6" x14ac:dyDescent="0.3">
      <c r="A238" s="139" t="s">
        <v>364</v>
      </c>
      <c r="B238" s="66" t="s">
        <v>365</v>
      </c>
      <c r="C238" s="24"/>
      <c r="D238" s="64"/>
    </row>
    <row r="239" spans="1:4" ht="32.25" customHeight="1" x14ac:dyDescent="0.3">
      <c r="A239" s="139"/>
      <c r="B239" s="66" t="s">
        <v>366</v>
      </c>
      <c r="C239" s="24">
        <f>1.06*13165</f>
        <v>13954.900000000001</v>
      </c>
      <c r="D239" s="64"/>
    </row>
    <row r="240" spans="1:4" ht="46.5" customHeight="1" x14ac:dyDescent="0.3">
      <c r="A240" s="139"/>
      <c r="B240" s="66" t="s">
        <v>367</v>
      </c>
      <c r="C240" s="24">
        <f>1.06*11815+1</f>
        <v>12524.900000000001</v>
      </c>
      <c r="D240" s="65"/>
    </row>
    <row r="241" spans="1:4" ht="15.6" x14ac:dyDescent="0.3">
      <c r="A241" s="139" t="s">
        <v>368</v>
      </c>
      <c r="B241" s="66" t="s">
        <v>369</v>
      </c>
      <c r="C241" s="24"/>
      <c r="D241" s="64"/>
    </row>
    <row r="242" spans="1:4" ht="31.2" x14ac:dyDescent="0.3">
      <c r="A242" s="139"/>
      <c r="B242" s="66" t="s">
        <v>370</v>
      </c>
      <c r="C242" s="24">
        <f>1.06*14325</f>
        <v>15184.5</v>
      </c>
      <c r="D242" s="64"/>
    </row>
    <row r="243" spans="1:4" ht="31.2" x14ac:dyDescent="0.3">
      <c r="A243" s="139"/>
      <c r="B243" s="66" t="s">
        <v>371</v>
      </c>
      <c r="C243" s="24">
        <f>1.06*13165</f>
        <v>13954.900000000001</v>
      </c>
      <c r="D243" s="64"/>
    </row>
    <row r="244" spans="1:4" ht="15.6" x14ac:dyDescent="0.3">
      <c r="A244" s="66" t="s">
        <v>372</v>
      </c>
      <c r="B244" s="66" t="s">
        <v>373</v>
      </c>
      <c r="C244" s="24">
        <f>1.06*7955+3</f>
        <v>8435.3000000000011</v>
      </c>
      <c r="D244" s="64"/>
    </row>
    <row r="245" spans="1:4" ht="15.6" x14ac:dyDescent="0.3">
      <c r="A245" s="66" t="s">
        <v>374</v>
      </c>
      <c r="B245" s="66" t="s">
        <v>496</v>
      </c>
      <c r="C245" s="24">
        <f>1.06*8500</f>
        <v>9010</v>
      </c>
      <c r="D245" s="64"/>
    </row>
    <row r="246" spans="1:4" ht="15.6" x14ac:dyDescent="0.3">
      <c r="A246" s="139" t="s">
        <v>375</v>
      </c>
      <c r="B246" s="66" t="s">
        <v>376</v>
      </c>
      <c r="C246" s="24"/>
      <c r="D246" s="64"/>
    </row>
    <row r="247" spans="1:4" ht="15.6" x14ac:dyDescent="0.3">
      <c r="A247" s="139"/>
      <c r="B247" s="66" t="s">
        <v>377</v>
      </c>
      <c r="C247" s="24">
        <f>1.06*8500</f>
        <v>9010</v>
      </c>
      <c r="D247" s="64"/>
    </row>
    <row r="248" spans="1:4" ht="15.6" x14ac:dyDescent="0.3">
      <c r="A248" s="139"/>
      <c r="B248" s="66" t="s">
        <v>378</v>
      </c>
      <c r="C248" s="24">
        <f t="shared" ref="C248:C249" si="2">1.06*7955+3</f>
        <v>8435.3000000000011</v>
      </c>
      <c r="D248" s="64"/>
    </row>
    <row r="249" spans="1:4" ht="15.6" x14ac:dyDescent="0.3">
      <c r="A249" s="66" t="s">
        <v>379</v>
      </c>
      <c r="B249" s="66" t="s">
        <v>380</v>
      </c>
      <c r="C249" s="24">
        <f t="shared" si="2"/>
        <v>8435.3000000000011</v>
      </c>
      <c r="D249" s="64"/>
    </row>
    <row r="250" spans="1:4" ht="15.6" x14ac:dyDescent="0.3">
      <c r="A250" s="139" t="s">
        <v>381</v>
      </c>
      <c r="B250" s="66" t="s">
        <v>382</v>
      </c>
      <c r="C250" s="24"/>
      <c r="D250" s="64"/>
    </row>
    <row r="251" spans="1:4" ht="15.6" x14ac:dyDescent="0.3">
      <c r="A251" s="139"/>
      <c r="B251" s="66" t="s">
        <v>383</v>
      </c>
      <c r="C251" s="24">
        <f>1.06*9035+3</f>
        <v>9580.1</v>
      </c>
      <c r="D251" s="64"/>
    </row>
    <row r="252" spans="1:4" ht="15.6" x14ac:dyDescent="0.3">
      <c r="A252" s="139"/>
      <c r="B252" s="66" t="s">
        <v>384</v>
      </c>
      <c r="C252" s="24">
        <f>1.06*8500</f>
        <v>9010</v>
      </c>
      <c r="D252" s="64"/>
    </row>
    <row r="253" spans="1:4" ht="15.6" x14ac:dyDescent="0.3">
      <c r="A253" s="139" t="s">
        <v>385</v>
      </c>
      <c r="B253" s="66" t="s">
        <v>386</v>
      </c>
      <c r="C253" s="24"/>
      <c r="D253" s="64"/>
    </row>
    <row r="254" spans="1:4" ht="15.6" x14ac:dyDescent="0.3">
      <c r="A254" s="139"/>
      <c r="B254" s="66" t="s">
        <v>387</v>
      </c>
      <c r="C254" s="24">
        <f>1.06*9035+3</f>
        <v>9580.1</v>
      </c>
      <c r="D254" s="64"/>
    </row>
    <row r="255" spans="1:4" ht="15.6" x14ac:dyDescent="0.3">
      <c r="A255" s="139"/>
      <c r="B255" s="66" t="s">
        <v>388</v>
      </c>
      <c r="C255" s="24">
        <f>1.06*7955+3</f>
        <v>8435.3000000000011</v>
      </c>
      <c r="D255" s="64"/>
    </row>
    <row r="256" spans="1:4" ht="15.6" x14ac:dyDescent="0.3">
      <c r="A256" s="83" t="s">
        <v>389</v>
      </c>
      <c r="B256" s="83" t="s">
        <v>534</v>
      </c>
      <c r="C256" s="24">
        <f t="shared" ref="C256:C257" si="3">1.06*9035+3</f>
        <v>9580.1</v>
      </c>
      <c r="D256" s="64"/>
    </row>
    <row r="257" spans="1:4" ht="15.6" x14ac:dyDescent="0.3">
      <c r="A257" s="83" t="s">
        <v>392</v>
      </c>
      <c r="B257" s="83" t="s">
        <v>535</v>
      </c>
      <c r="C257" s="24">
        <f t="shared" si="3"/>
        <v>9580.1</v>
      </c>
      <c r="D257" s="64"/>
    </row>
    <row r="258" spans="1:4" ht="15.6" x14ac:dyDescent="0.3">
      <c r="A258" s="139" t="s">
        <v>394</v>
      </c>
      <c r="B258" s="66" t="s">
        <v>390</v>
      </c>
      <c r="C258" s="24"/>
      <c r="D258" s="64"/>
    </row>
    <row r="259" spans="1:4" ht="46.8" x14ac:dyDescent="0.3">
      <c r="A259" s="139"/>
      <c r="B259" s="66" t="s">
        <v>533</v>
      </c>
      <c r="C259" s="24">
        <f>1.06*9035+3</f>
        <v>9580.1</v>
      </c>
      <c r="D259" s="64"/>
    </row>
    <row r="260" spans="1:4" ht="46.8" x14ac:dyDescent="0.3">
      <c r="A260" s="139"/>
      <c r="B260" s="66" t="s">
        <v>532</v>
      </c>
      <c r="C260" s="24">
        <f>1.06*9880+2</f>
        <v>10474.800000000001</v>
      </c>
      <c r="D260" s="64"/>
    </row>
    <row r="261" spans="1:4" ht="15.6" x14ac:dyDescent="0.3">
      <c r="A261" s="66" t="s">
        <v>396</v>
      </c>
      <c r="B261" s="66" t="s">
        <v>393</v>
      </c>
      <c r="C261" s="24">
        <f>1.06*8500</f>
        <v>9010</v>
      </c>
      <c r="D261" s="64"/>
    </row>
    <row r="262" spans="1:4" ht="15.6" x14ac:dyDescent="0.3">
      <c r="A262" s="66" t="s">
        <v>398</v>
      </c>
      <c r="B262" s="66" t="s">
        <v>395</v>
      </c>
      <c r="C262" s="24">
        <f t="shared" ref="C262:C264" si="4">1.06*7955+3</f>
        <v>8435.3000000000011</v>
      </c>
      <c r="D262" s="64"/>
    </row>
    <row r="263" spans="1:4" ht="15.6" x14ac:dyDescent="0.3">
      <c r="A263" s="66" t="s">
        <v>400</v>
      </c>
      <c r="B263" s="66" t="s">
        <v>397</v>
      </c>
      <c r="C263" s="24">
        <f t="shared" si="4"/>
        <v>8435.3000000000011</v>
      </c>
      <c r="D263" s="64"/>
    </row>
    <row r="264" spans="1:4" ht="15.6" x14ac:dyDescent="0.3">
      <c r="A264" s="66" t="s">
        <v>402</v>
      </c>
      <c r="B264" s="66" t="s">
        <v>399</v>
      </c>
      <c r="C264" s="24">
        <f t="shared" si="4"/>
        <v>8435.3000000000011</v>
      </c>
      <c r="D264" s="64"/>
    </row>
    <row r="265" spans="1:4" ht="15.6" x14ac:dyDescent="0.3">
      <c r="A265" s="66" t="s">
        <v>405</v>
      </c>
      <c r="B265" s="66" t="s">
        <v>401</v>
      </c>
      <c r="C265" s="24">
        <f>1.06*9035+3</f>
        <v>9580.1</v>
      </c>
      <c r="D265" s="64"/>
    </row>
    <row r="266" spans="1:4" ht="15.6" x14ac:dyDescent="0.3">
      <c r="A266" s="139" t="s">
        <v>409</v>
      </c>
      <c r="B266" s="66" t="s">
        <v>403</v>
      </c>
      <c r="C266" s="24"/>
      <c r="D266" s="64"/>
    </row>
    <row r="267" spans="1:4" ht="31.2" x14ac:dyDescent="0.3">
      <c r="A267" s="139"/>
      <c r="B267" s="66" t="s">
        <v>391</v>
      </c>
      <c r="C267" s="24">
        <f>1.06*10850+4</f>
        <v>11505</v>
      </c>
      <c r="D267" s="64"/>
    </row>
    <row r="268" spans="1:4" ht="46.8" x14ac:dyDescent="0.3">
      <c r="A268" s="139"/>
      <c r="B268" s="66" t="s">
        <v>404</v>
      </c>
      <c r="C268" s="24">
        <f>1.06*11815+1</f>
        <v>12524.900000000001</v>
      </c>
      <c r="D268" s="64"/>
    </row>
    <row r="269" spans="1:4" ht="15.6" x14ac:dyDescent="0.3">
      <c r="A269" s="139" t="s">
        <v>411</v>
      </c>
      <c r="B269" s="66" t="s">
        <v>406</v>
      </c>
      <c r="C269" s="24"/>
      <c r="D269" s="64"/>
    </row>
    <row r="270" spans="1:4" ht="62.4" x14ac:dyDescent="0.3">
      <c r="A270" s="139"/>
      <c r="B270" s="66" t="s">
        <v>407</v>
      </c>
      <c r="C270" s="24">
        <f>1.06*9035+3</f>
        <v>9580.1</v>
      </c>
      <c r="D270" s="64"/>
    </row>
    <row r="271" spans="1:4" ht="46.8" x14ac:dyDescent="0.3">
      <c r="A271" s="139"/>
      <c r="B271" s="66" t="s">
        <v>408</v>
      </c>
      <c r="C271" s="24">
        <f>1.06*9880+2</f>
        <v>10474.800000000001</v>
      </c>
      <c r="D271" s="64"/>
    </row>
    <row r="272" spans="1:4" ht="15.6" x14ac:dyDescent="0.3">
      <c r="A272" s="66" t="s">
        <v>536</v>
      </c>
      <c r="B272" s="66" t="s">
        <v>410</v>
      </c>
      <c r="C272" s="24">
        <f>1.06*9035+3</f>
        <v>9580.1</v>
      </c>
      <c r="D272" s="64"/>
    </row>
    <row r="273" spans="1:4" ht="15.6" x14ac:dyDescent="0.3">
      <c r="A273" s="66" t="s">
        <v>537</v>
      </c>
      <c r="B273" s="66" t="s">
        <v>412</v>
      </c>
      <c r="C273" s="24">
        <f>1.06*8500</f>
        <v>9010</v>
      </c>
      <c r="D273" s="64"/>
    </row>
  </sheetData>
  <mergeCells count="54">
    <mergeCell ref="A266:A268"/>
    <mergeCell ref="A269:A271"/>
    <mergeCell ref="A241:A243"/>
    <mergeCell ref="A246:A248"/>
    <mergeCell ref="A250:A252"/>
    <mergeCell ref="A253:A255"/>
    <mergeCell ref="A258:A260"/>
    <mergeCell ref="A217:A221"/>
    <mergeCell ref="A222:A226"/>
    <mergeCell ref="A227:A231"/>
    <mergeCell ref="A238:A240"/>
    <mergeCell ref="A187:A191"/>
    <mergeCell ref="A192:A196"/>
    <mergeCell ref="A197:A201"/>
    <mergeCell ref="A202:A206"/>
    <mergeCell ref="A207:A211"/>
    <mergeCell ref="A212:A216"/>
    <mergeCell ref="A182:A186"/>
    <mergeCell ref="A143:A147"/>
    <mergeCell ref="A148:A152"/>
    <mergeCell ref="A153:A157"/>
    <mergeCell ref="A135:A139"/>
    <mergeCell ref="A140:A142"/>
    <mergeCell ref="A158:A162"/>
    <mergeCell ref="A163:A167"/>
    <mergeCell ref="A168:A172"/>
    <mergeCell ref="A173:A176"/>
    <mergeCell ref="A177:A181"/>
    <mergeCell ref="A112:A116"/>
    <mergeCell ref="A117:A121"/>
    <mergeCell ref="A122:A126"/>
    <mergeCell ref="A127:A131"/>
    <mergeCell ref="A132:A134"/>
    <mergeCell ref="A107:A111"/>
    <mergeCell ref="A66:A69"/>
    <mergeCell ref="A70:A73"/>
    <mergeCell ref="A75:A79"/>
    <mergeCell ref="A80:A83"/>
    <mergeCell ref="A85:A88"/>
    <mergeCell ref="A89:A93"/>
    <mergeCell ref="A94:A98"/>
    <mergeCell ref="A99:A103"/>
    <mergeCell ref="A104:A106"/>
    <mergeCell ref="A58:A61"/>
    <mergeCell ref="A62:A65"/>
    <mergeCell ref="A25:A27"/>
    <mergeCell ref="A30:A32"/>
    <mergeCell ref="A39:A43"/>
    <mergeCell ref="A44:A48"/>
    <mergeCell ref="A15:A17"/>
    <mergeCell ref="A18:A20"/>
    <mergeCell ref="A21:A24"/>
    <mergeCell ref="A49:A53"/>
    <mergeCell ref="A54:A57"/>
  </mergeCells>
  <pageMargins left="0.70866141732283472" right="0.70866141732283472" top="0.74803149606299213" bottom="0.74803149606299213" header="0.31496062992125984" footer="0.31496062992125984"/>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7"/>
  <sheetViews>
    <sheetView topLeftCell="A25" workbookViewId="0">
      <selection activeCell="C4" sqref="C4"/>
    </sheetView>
  </sheetViews>
  <sheetFormatPr defaultRowHeight="14.4" x14ac:dyDescent="0.3"/>
  <cols>
    <col min="1" max="1" width="4.88671875" customWidth="1"/>
    <col min="2" max="2" width="39.44140625" customWidth="1"/>
    <col min="3" max="6" width="10.6640625" customWidth="1"/>
  </cols>
  <sheetData>
    <row r="1" spans="1:6" ht="15" x14ac:dyDescent="0.25">
      <c r="B1">
        <v>1</v>
      </c>
    </row>
    <row r="2" spans="1:6" ht="15.6" x14ac:dyDescent="0.3">
      <c r="A2" s="40"/>
      <c r="D2" s="17" t="s">
        <v>417</v>
      </c>
    </row>
    <row r="3" spans="1:6" ht="15.6" x14ac:dyDescent="0.3">
      <c r="A3" s="40"/>
      <c r="D3" s="17" t="s">
        <v>457</v>
      </c>
    </row>
    <row r="4" spans="1:6" ht="15.6" x14ac:dyDescent="0.3">
      <c r="A4" s="40"/>
      <c r="D4" s="17" t="s">
        <v>458</v>
      </c>
    </row>
    <row r="5" spans="1:6" ht="15.6" x14ac:dyDescent="0.3">
      <c r="A5" s="19"/>
      <c r="D5" s="17" t="s">
        <v>509</v>
      </c>
    </row>
    <row r="6" spans="1:6" ht="15.6" x14ac:dyDescent="0.3">
      <c r="A6" s="19"/>
      <c r="D6" s="17" t="s">
        <v>19</v>
      </c>
    </row>
    <row r="7" spans="1:6" x14ac:dyDescent="0.3">
      <c r="A7" s="126" t="s">
        <v>418</v>
      </c>
      <c r="B7" s="96"/>
      <c r="C7" s="96"/>
      <c r="D7" s="96"/>
      <c r="E7" s="96"/>
      <c r="F7" s="96"/>
    </row>
    <row r="8" spans="1:6" x14ac:dyDescent="0.3">
      <c r="A8" s="126" t="s">
        <v>516</v>
      </c>
      <c r="B8" s="96"/>
      <c r="C8" s="96"/>
      <c r="D8" s="96"/>
      <c r="E8" s="96"/>
      <c r="F8" s="96"/>
    </row>
    <row r="9" spans="1:6" ht="15.6" x14ac:dyDescent="0.3">
      <c r="F9" s="18" t="s">
        <v>1</v>
      </c>
    </row>
    <row r="10" spans="1:6" ht="27.75" customHeight="1" x14ac:dyDescent="0.3">
      <c r="A10" s="140" t="s">
        <v>419</v>
      </c>
      <c r="B10" s="96"/>
      <c r="C10" s="96"/>
      <c r="D10" s="96"/>
      <c r="E10" s="96"/>
      <c r="F10" s="96"/>
    </row>
    <row r="11" spans="1:6" x14ac:dyDescent="0.3">
      <c r="A11" s="101" t="s">
        <v>517</v>
      </c>
      <c r="B11" s="96"/>
      <c r="C11" s="96"/>
      <c r="D11" s="96"/>
      <c r="E11" s="96"/>
      <c r="F11" s="96"/>
    </row>
    <row r="12" spans="1:6" ht="15.75" x14ac:dyDescent="0.25">
      <c r="A12" s="19"/>
    </row>
    <row r="13" spans="1:6" ht="47.25" customHeight="1" x14ac:dyDescent="0.3">
      <c r="A13" s="90" t="s">
        <v>184</v>
      </c>
      <c r="B13" s="90" t="s">
        <v>185</v>
      </c>
      <c r="C13" s="90" t="s">
        <v>420</v>
      </c>
      <c r="D13" s="90"/>
      <c r="E13" s="90"/>
      <c r="F13" s="90"/>
    </row>
    <row r="14" spans="1:6" ht="31.2" x14ac:dyDescent="0.3">
      <c r="A14" s="90"/>
      <c r="B14" s="90"/>
      <c r="C14" s="59" t="s">
        <v>421</v>
      </c>
      <c r="D14" s="59" t="s">
        <v>422</v>
      </c>
      <c r="E14" s="59" t="s">
        <v>423</v>
      </c>
      <c r="F14" s="59" t="s">
        <v>424</v>
      </c>
    </row>
    <row r="15" spans="1:6" s="13" customFormat="1" ht="15.75" x14ac:dyDescent="0.25">
      <c r="A15" s="5">
        <v>1</v>
      </c>
      <c r="B15" s="5">
        <v>2</v>
      </c>
      <c r="C15" s="5">
        <v>3</v>
      </c>
      <c r="D15" s="5">
        <v>4</v>
      </c>
      <c r="E15" s="5">
        <v>5</v>
      </c>
      <c r="F15" s="5">
        <v>6</v>
      </c>
    </row>
    <row r="16" spans="1:6" ht="15.6" x14ac:dyDescent="0.3">
      <c r="A16" s="59">
        <v>1</v>
      </c>
      <c r="B16" s="59" t="s">
        <v>425</v>
      </c>
      <c r="C16" s="24">
        <f>1.1*24760+4</f>
        <v>27240.000000000004</v>
      </c>
      <c r="D16" s="24">
        <f>1.1*23190+1</f>
        <v>25510.000000000004</v>
      </c>
      <c r="E16" s="24">
        <f>1.1*21120+3</f>
        <v>23235.000000000004</v>
      </c>
      <c r="F16" s="24">
        <f>1.1*19815+3</f>
        <v>21799.5</v>
      </c>
    </row>
    <row r="17" spans="1:6" ht="62.4" x14ac:dyDescent="0.3">
      <c r="A17" s="90">
        <v>2</v>
      </c>
      <c r="B17" s="59" t="s">
        <v>518</v>
      </c>
      <c r="C17" s="24"/>
      <c r="D17" s="24"/>
      <c r="E17" s="24"/>
      <c r="F17" s="24"/>
    </row>
    <row r="18" spans="1:6" ht="31.2" x14ac:dyDescent="0.3">
      <c r="A18" s="90"/>
      <c r="B18" s="59" t="s">
        <v>198</v>
      </c>
      <c r="C18" s="24"/>
      <c r="D18" s="24"/>
      <c r="E18" s="24"/>
      <c r="F18" s="37">
        <f>1.1*26060+4</f>
        <v>28670.000000000004</v>
      </c>
    </row>
    <row r="19" spans="1:6" ht="31.2" x14ac:dyDescent="0.3">
      <c r="A19" s="36"/>
      <c r="B19" s="59" t="s">
        <v>199</v>
      </c>
      <c r="C19" s="37"/>
      <c r="D19" s="37"/>
      <c r="E19" s="37"/>
      <c r="F19" s="37">
        <f>1.1*24760+4</f>
        <v>27240.000000000004</v>
      </c>
    </row>
    <row r="20" spans="1:6" ht="31.2" x14ac:dyDescent="0.3">
      <c r="A20" s="36"/>
      <c r="B20" s="59" t="s">
        <v>200</v>
      </c>
      <c r="C20" s="37"/>
      <c r="D20" s="37"/>
      <c r="E20" s="37"/>
      <c r="F20" s="37">
        <f>1.1*23450</f>
        <v>25795.000000000004</v>
      </c>
    </row>
    <row r="21" spans="1:6" ht="31.2" x14ac:dyDescent="0.3">
      <c r="A21" s="36"/>
      <c r="B21" s="59" t="s">
        <v>228</v>
      </c>
      <c r="C21" s="37"/>
      <c r="D21" s="37"/>
      <c r="E21" s="37"/>
      <c r="F21" s="37">
        <f>1.1*22145</f>
        <v>24359.500000000004</v>
      </c>
    </row>
    <row r="22" spans="1:6" ht="15.6" x14ac:dyDescent="0.3">
      <c r="A22" s="59">
        <v>3</v>
      </c>
      <c r="B22" s="59" t="s">
        <v>426</v>
      </c>
      <c r="C22" s="24">
        <f>1.1*21120+3</f>
        <v>23235.000000000004</v>
      </c>
      <c r="D22" s="24">
        <f>1.1*19815+3</f>
        <v>21799.5</v>
      </c>
      <c r="E22" s="24">
        <f>1.1*19290+1</f>
        <v>21220</v>
      </c>
      <c r="F22" s="24">
        <f>1.1*17725+2</f>
        <v>19499.5</v>
      </c>
    </row>
    <row r="23" spans="1:6" ht="15.6" x14ac:dyDescent="0.3">
      <c r="A23" s="59">
        <v>4</v>
      </c>
      <c r="B23" s="59" t="s">
        <v>427</v>
      </c>
      <c r="C23" s="24">
        <f>1.1*19815+3</f>
        <v>21799.5</v>
      </c>
      <c r="D23" s="24">
        <f>1.1*19290+1</f>
        <v>21220</v>
      </c>
      <c r="E23" s="24">
        <f>1.1*17725+2</f>
        <v>19499.5</v>
      </c>
      <c r="F23" s="24">
        <f>1.1*15905+4</f>
        <v>17499.5</v>
      </c>
    </row>
    <row r="24" spans="1:6" ht="15.6" x14ac:dyDescent="0.3">
      <c r="A24" s="59">
        <v>5</v>
      </c>
      <c r="B24" s="59" t="s">
        <v>428</v>
      </c>
      <c r="C24" s="24">
        <f t="shared" ref="C24:C25" si="0">1.1*19290+1</f>
        <v>21220</v>
      </c>
      <c r="D24" s="24">
        <f t="shared" ref="D24:D25" si="1">1.1*17725+2</f>
        <v>19499.5</v>
      </c>
      <c r="E24" s="24">
        <f t="shared" ref="E24:E25" si="2">1.1*15905+4</f>
        <v>17499.5</v>
      </c>
      <c r="F24" s="24">
        <f>1.1*14615+3</f>
        <v>16079.500000000002</v>
      </c>
    </row>
    <row r="25" spans="1:6" ht="31.2" x14ac:dyDescent="0.3">
      <c r="A25" s="59">
        <v>6</v>
      </c>
      <c r="B25" s="59" t="s">
        <v>429</v>
      </c>
      <c r="C25" s="24">
        <f t="shared" si="0"/>
        <v>21220</v>
      </c>
      <c r="D25" s="24">
        <f t="shared" si="1"/>
        <v>19499.5</v>
      </c>
      <c r="E25" s="24">
        <f t="shared" si="2"/>
        <v>17499.5</v>
      </c>
      <c r="F25" s="24">
        <f>1.1*14615+3</f>
        <v>16079.500000000002</v>
      </c>
    </row>
    <row r="26" spans="1:6" ht="61.5" customHeight="1" x14ac:dyDescent="0.3">
      <c r="A26" s="114" t="s">
        <v>432</v>
      </c>
      <c r="B26" s="115"/>
      <c r="C26" s="115"/>
      <c r="D26" s="115"/>
      <c r="E26" s="115"/>
      <c r="F26" s="115"/>
    </row>
    <row r="27" spans="1:6" ht="15.6" x14ac:dyDescent="0.3">
      <c r="A27" s="18"/>
    </row>
  </sheetData>
  <mergeCells count="9">
    <mergeCell ref="A7:F7"/>
    <mergeCell ref="A8:F8"/>
    <mergeCell ref="A10:F10"/>
    <mergeCell ref="A11:F11"/>
    <mergeCell ref="A26:F26"/>
    <mergeCell ref="A13:A14"/>
    <mergeCell ref="B13:B14"/>
    <mergeCell ref="C13:F13"/>
    <mergeCell ref="A17:A18"/>
  </mergeCells>
  <pageMargins left="0.70866141732283472" right="0.70866141732283472" top="0.74803149606299213" bottom="0.74803149606299213" header="0.31496062992125984" footer="0.31496062992125984"/>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9"/>
  <sheetViews>
    <sheetView workbookViewId="0">
      <selection activeCell="C4" sqref="C4"/>
    </sheetView>
  </sheetViews>
  <sheetFormatPr defaultRowHeight="14.4" x14ac:dyDescent="0.3"/>
  <cols>
    <col min="1" max="1" width="4.88671875" customWidth="1"/>
    <col min="2" max="2" width="39.44140625" customWidth="1"/>
    <col min="3" max="6" width="10.6640625" customWidth="1"/>
  </cols>
  <sheetData>
    <row r="1" spans="1:7" ht="15" x14ac:dyDescent="0.25">
      <c r="B1">
        <v>2</v>
      </c>
    </row>
    <row r="2" spans="1:7" ht="15.6" x14ac:dyDescent="0.3">
      <c r="F2" s="18" t="s">
        <v>21</v>
      </c>
    </row>
    <row r="3" spans="1:7" ht="26.25" customHeight="1" x14ac:dyDescent="0.3">
      <c r="A3" s="140" t="s">
        <v>418</v>
      </c>
      <c r="B3" s="96"/>
      <c r="C3" s="96"/>
      <c r="D3" s="96"/>
      <c r="E3" s="96"/>
      <c r="F3" s="96"/>
    </row>
    <row r="4" spans="1:7" ht="38.25" customHeight="1" x14ac:dyDescent="0.3">
      <c r="A4" s="142" t="s">
        <v>520</v>
      </c>
      <c r="B4" s="100"/>
      <c r="C4" s="100"/>
      <c r="D4" s="100"/>
      <c r="E4" s="100"/>
      <c r="F4" s="100"/>
    </row>
    <row r="5" spans="1:7" ht="47.25" customHeight="1" x14ac:dyDescent="0.3">
      <c r="A5" s="90" t="s">
        <v>184</v>
      </c>
      <c r="B5" s="90" t="s">
        <v>185</v>
      </c>
      <c r="C5" s="90" t="s">
        <v>420</v>
      </c>
      <c r="D5" s="90"/>
      <c r="E5" s="90"/>
      <c r="F5" s="90"/>
    </row>
    <row r="6" spans="1:7" ht="28.5" customHeight="1" x14ac:dyDescent="0.3">
      <c r="A6" s="90"/>
      <c r="B6" s="90"/>
      <c r="C6" s="59" t="s">
        <v>421</v>
      </c>
      <c r="D6" s="59" t="s">
        <v>422</v>
      </c>
      <c r="E6" s="59" t="s">
        <v>423</v>
      </c>
      <c r="F6" s="59" t="s">
        <v>424</v>
      </c>
    </row>
    <row r="7" spans="1:7" s="13" customFormat="1" ht="15.75" x14ac:dyDescent="0.25">
      <c r="A7" s="5">
        <v>1</v>
      </c>
      <c r="B7" s="5">
        <v>2</v>
      </c>
      <c r="C7" s="5">
        <v>3</v>
      </c>
      <c r="D7" s="5">
        <v>4</v>
      </c>
      <c r="E7" s="5">
        <v>5</v>
      </c>
      <c r="F7" s="5">
        <v>6</v>
      </c>
    </row>
    <row r="8" spans="1:7" ht="15.6" x14ac:dyDescent="0.3">
      <c r="A8" s="59">
        <v>1</v>
      </c>
      <c r="B8" s="59" t="s">
        <v>425</v>
      </c>
      <c r="C8" s="81">
        <f>1.1*17585+1</f>
        <v>19344.5</v>
      </c>
      <c r="D8" s="81">
        <f>1.1*16480+2</f>
        <v>18130</v>
      </c>
      <c r="E8" s="81">
        <f>1.1*14995</f>
        <v>16494.5</v>
      </c>
      <c r="F8" s="81">
        <f>1.1*14075+2</f>
        <v>15484.500000000002</v>
      </c>
      <c r="G8" s="51"/>
    </row>
    <row r="9" spans="1:7" ht="51.75" customHeight="1" x14ac:dyDescent="0.3">
      <c r="A9" s="90">
        <v>2</v>
      </c>
      <c r="B9" s="14" t="s">
        <v>519</v>
      </c>
      <c r="C9" s="81"/>
      <c r="D9" s="81"/>
      <c r="E9" s="81"/>
      <c r="F9" s="81"/>
      <c r="G9" s="51"/>
    </row>
    <row r="10" spans="1:7" ht="28.5" customHeight="1" x14ac:dyDescent="0.3">
      <c r="A10" s="90"/>
      <c r="B10" s="59" t="s">
        <v>198</v>
      </c>
      <c r="C10" s="81"/>
      <c r="D10" s="81"/>
      <c r="E10" s="81"/>
      <c r="F10" s="82">
        <f>1.1*18510+4</f>
        <v>20365</v>
      </c>
      <c r="G10" s="51"/>
    </row>
    <row r="11" spans="1:7" ht="28.5" customHeight="1" x14ac:dyDescent="0.3">
      <c r="A11" s="36"/>
      <c r="B11" s="59" t="s">
        <v>199</v>
      </c>
      <c r="C11" s="82"/>
      <c r="D11" s="82"/>
      <c r="E11" s="82"/>
      <c r="F11" s="81">
        <f>1.1*17585+1</f>
        <v>19344.5</v>
      </c>
      <c r="G11" s="51"/>
    </row>
    <row r="12" spans="1:7" ht="28.5" customHeight="1" x14ac:dyDescent="0.3">
      <c r="A12" s="36"/>
      <c r="B12" s="59" t="s">
        <v>200</v>
      </c>
      <c r="C12" s="82"/>
      <c r="D12" s="82"/>
      <c r="E12" s="82"/>
      <c r="F12" s="82">
        <f>1.1*16660+4</f>
        <v>18330</v>
      </c>
      <c r="G12" s="51"/>
    </row>
    <row r="13" spans="1:7" ht="28.5" customHeight="1" x14ac:dyDescent="0.3">
      <c r="A13" s="36"/>
      <c r="B13" s="59" t="s">
        <v>228</v>
      </c>
      <c r="C13" s="82"/>
      <c r="D13" s="82"/>
      <c r="E13" s="82"/>
      <c r="F13" s="82">
        <f>1.1*15735+1</f>
        <v>17309.5</v>
      </c>
      <c r="G13" s="51"/>
    </row>
    <row r="14" spans="1:7" ht="18" customHeight="1" x14ac:dyDescent="0.3">
      <c r="A14" s="59">
        <v>3</v>
      </c>
      <c r="B14" s="59" t="s">
        <v>426</v>
      </c>
      <c r="C14" s="81">
        <f>1.1*14995</f>
        <v>16494.5</v>
      </c>
      <c r="D14" s="81">
        <f>1.1*14075+2</f>
        <v>15484.500000000002</v>
      </c>
      <c r="E14" s="81">
        <f>1.1*13705+4</f>
        <v>15079.500000000002</v>
      </c>
      <c r="F14" s="81">
        <f>1.1*12585+1</f>
        <v>13844.500000000002</v>
      </c>
      <c r="G14" s="51"/>
    </row>
    <row r="15" spans="1:7" ht="18" customHeight="1" x14ac:dyDescent="0.3">
      <c r="A15" s="59">
        <v>4</v>
      </c>
      <c r="B15" s="59" t="s">
        <v>427</v>
      </c>
      <c r="C15" s="81">
        <f>1.1*14075+2</f>
        <v>15484.500000000002</v>
      </c>
      <c r="D15" s="81">
        <f>1.1*13705+4</f>
        <v>15079.500000000002</v>
      </c>
      <c r="E15" s="81">
        <f>1.1*12585+1</f>
        <v>13844.500000000002</v>
      </c>
      <c r="F15" s="81">
        <f>1.1*11300</f>
        <v>12430.000000000002</v>
      </c>
      <c r="G15" s="51"/>
    </row>
    <row r="16" spans="1:7" ht="18" customHeight="1" x14ac:dyDescent="0.3">
      <c r="A16" s="59">
        <v>5</v>
      </c>
      <c r="B16" s="59" t="s">
        <v>428</v>
      </c>
      <c r="C16" s="81">
        <f t="shared" ref="C16:C17" si="0">1.1*13705+4</f>
        <v>15079.500000000002</v>
      </c>
      <c r="D16" s="81">
        <f t="shared" ref="D16:D17" si="1">1.1*12585+1</f>
        <v>13844.500000000002</v>
      </c>
      <c r="E16" s="81">
        <f>1.1*11300</f>
        <v>12430.000000000002</v>
      </c>
      <c r="F16" s="81">
        <f>1.1*10375+2</f>
        <v>11414.500000000002</v>
      </c>
      <c r="G16" s="51"/>
    </row>
    <row r="17" spans="1:7" ht="36.75" customHeight="1" x14ac:dyDescent="0.3">
      <c r="A17" s="59">
        <v>6</v>
      </c>
      <c r="B17" s="59" t="s">
        <v>430</v>
      </c>
      <c r="C17" s="81">
        <f t="shared" si="0"/>
        <v>15079.500000000002</v>
      </c>
      <c r="D17" s="81">
        <f t="shared" si="1"/>
        <v>13844.500000000002</v>
      </c>
      <c r="E17" s="82">
        <f>1.1*11300</f>
        <v>12430.000000000002</v>
      </c>
      <c r="F17" s="81">
        <f>1.1*10375+2</f>
        <v>11414.500000000002</v>
      </c>
      <c r="G17" s="51"/>
    </row>
    <row r="18" spans="1:7" ht="56.25" customHeight="1" x14ac:dyDescent="0.3">
      <c r="A18" s="141" t="s">
        <v>431</v>
      </c>
      <c r="B18" s="120"/>
      <c r="C18" s="120"/>
      <c r="D18" s="120"/>
      <c r="E18" s="120"/>
      <c r="F18" s="120"/>
    </row>
    <row r="19" spans="1:7" ht="15.6" x14ac:dyDescent="0.3">
      <c r="A19" s="29"/>
    </row>
  </sheetData>
  <mergeCells count="7">
    <mergeCell ref="A9:A10"/>
    <mergeCell ref="A18:F18"/>
    <mergeCell ref="A3:F3"/>
    <mergeCell ref="A4:F4"/>
    <mergeCell ref="A5:A6"/>
    <mergeCell ref="B5:B6"/>
    <mergeCell ref="C5:F5"/>
  </mergeCells>
  <pageMargins left="0.70866141732283472" right="0.70866141732283472" top="0.74803149606299213" bottom="0.74803149606299213" header="0.31496062992125984" footer="0.31496062992125984"/>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5"/>
  <sheetViews>
    <sheetView workbookViewId="0">
      <selection activeCell="B9" sqref="B9"/>
    </sheetView>
  </sheetViews>
  <sheetFormatPr defaultRowHeight="14.4" x14ac:dyDescent="0.3"/>
  <cols>
    <col min="1" max="1" width="5.88671875" customWidth="1"/>
    <col min="2" max="2" width="67.5546875" customWidth="1"/>
    <col min="3" max="3" width="13.109375" customWidth="1"/>
  </cols>
  <sheetData>
    <row r="1" spans="1:4" x14ac:dyDescent="0.3">
      <c r="C1" s="70" t="s">
        <v>514</v>
      </c>
    </row>
    <row r="2" spans="1:4" ht="15.6" x14ac:dyDescent="0.3">
      <c r="A2" s="40"/>
      <c r="C2" s="70" t="s">
        <v>511</v>
      </c>
    </row>
    <row r="3" spans="1:4" ht="15.6" x14ac:dyDescent="0.3">
      <c r="A3" s="40"/>
      <c r="C3" s="70" t="s">
        <v>512</v>
      </c>
    </row>
    <row r="4" spans="1:4" ht="15.6" x14ac:dyDescent="0.3">
      <c r="A4" s="40"/>
      <c r="C4" s="70" t="s">
        <v>510</v>
      </c>
    </row>
    <row r="5" spans="1:4" ht="15.6" x14ac:dyDescent="0.3">
      <c r="A5" s="19"/>
      <c r="C5" s="70" t="s">
        <v>19</v>
      </c>
    </row>
    <row r="6" spans="1:4" ht="25.5" customHeight="1" x14ac:dyDescent="0.3">
      <c r="B6" s="63" t="s">
        <v>524</v>
      </c>
    </row>
    <row r="7" spans="1:4" ht="48.75" customHeight="1" x14ac:dyDescent="0.3">
      <c r="A7" s="67" t="s">
        <v>184</v>
      </c>
      <c r="B7" s="59" t="s">
        <v>185</v>
      </c>
      <c r="C7" s="69" t="s">
        <v>413</v>
      </c>
      <c r="D7" s="61"/>
    </row>
    <row r="8" spans="1:4" s="13" customFormat="1" ht="15.75" x14ac:dyDescent="0.25">
      <c r="A8" s="5">
        <v>1</v>
      </c>
      <c r="B8" s="5">
        <v>2</v>
      </c>
      <c r="C8" s="78">
        <v>3</v>
      </c>
      <c r="D8" s="60"/>
    </row>
    <row r="9" spans="1:4" s="50" customFormat="1" ht="33" customHeight="1" x14ac:dyDescent="0.3">
      <c r="A9" s="62" t="s">
        <v>176</v>
      </c>
      <c r="B9" s="62" t="s">
        <v>433</v>
      </c>
      <c r="C9" s="80"/>
      <c r="D9" s="79"/>
    </row>
    <row r="10" spans="1:4" ht="31.2" x14ac:dyDescent="0.3">
      <c r="A10" s="90" t="s">
        <v>187</v>
      </c>
      <c r="B10" s="59" t="s">
        <v>521</v>
      </c>
      <c r="C10" s="87"/>
      <c r="D10" s="20"/>
    </row>
    <row r="11" spans="1:4" ht="15.6" x14ac:dyDescent="0.3">
      <c r="A11" s="90"/>
      <c r="B11" s="59" t="s">
        <v>434</v>
      </c>
      <c r="C11" s="37">
        <f>1.2*18510+3</f>
        <v>22215</v>
      </c>
      <c r="D11" s="20"/>
    </row>
    <row r="12" spans="1:4" ht="15.6" x14ac:dyDescent="0.3">
      <c r="A12" s="90"/>
      <c r="B12" s="59" t="s">
        <v>435</v>
      </c>
      <c r="C12" s="37">
        <f>1.2*17585+3</f>
        <v>21105</v>
      </c>
      <c r="D12" s="20"/>
    </row>
    <row r="13" spans="1:4" ht="18.75" customHeight="1" x14ac:dyDescent="0.3">
      <c r="A13" s="90"/>
      <c r="B13" s="59" t="s">
        <v>436</v>
      </c>
      <c r="C13" s="37">
        <f>1.2*16660+3</f>
        <v>19995</v>
      </c>
      <c r="D13" s="20"/>
    </row>
    <row r="14" spans="1:4" ht="63.75" customHeight="1" x14ac:dyDescent="0.3">
      <c r="A14" s="59" t="s">
        <v>189</v>
      </c>
      <c r="B14" s="59" t="s">
        <v>522</v>
      </c>
      <c r="C14" s="37">
        <f>1.2*21275</f>
        <v>25530</v>
      </c>
      <c r="D14" s="20"/>
    </row>
    <row r="15" spans="1:4" ht="35.25" customHeight="1" x14ac:dyDescent="0.3">
      <c r="A15" s="59" t="s">
        <v>193</v>
      </c>
      <c r="B15" s="59" t="s">
        <v>523</v>
      </c>
      <c r="C15" s="37">
        <f>1.2*20355+4</f>
        <v>24430</v>
      </c>
      <c r="D15" s="20"/>
    </row>
    <row r="16" spans="1:4" ht="46.8" x14ac:dyDescent="0.3">
      <c r="A16" s="90" t="s">
        <v>197</v>
      </c>
      <c r="B16" s="59" t="s">
        <v>437</v>
      </c>
      <c r="C16" s="37"/>
      <c r="D16" s="20"/>
    </row>
    <row r="17" spans="1:4" ht="15.6" x14ac:dyDescent="0.3">
      <c r="A17" s="90"/>
      <c r="B17" s="59" t="s">
        <v>434</v>
      </c>
      <c r="C17" s="37">
        <f>1.2*19430+4</f>
        <v>23320</v>
      </c>
      <c r="D17" s="20"/>
    </row>
    <row r="18" spans="1:4" ht="15.6" x14ac:dyDescent="0.3">
      <c r="A18" s="90"/>
      <c r="B18" s="59" t="s">
        <v>435</v>
      </c>
      <c r="C18" s="37">
        <f>1.2*18510+3</f>
        <v>22215</v>
      </c>
      <c r="D18" s="20"/>
    </row>
    <row r="19" spans="1:4" ht="15.6" x14ac:dyDescent="0.3">
      <c r="A19" s="90"/>
      <c r="B19" s="59" t="s">
        <v>438</v>
      </c>
      <c r="C19" s="37">
        <f>1.2*17585+3</f>
        <v>21105</v>
      </c>
      <c r="D19" s="20"/>
    </row>
    <row r="20" spans="1:4" ht="15.6" x14ac:dyDescent="0.3">
      <c r="A20" s="90"/>
      <c r="B20" s="59" t="s">
        <v>439</v>
      </c>
      <c r="C20" s="37">
        <f>1.2*16660+3</f>
        <v>19995</v>
      </c>
      <c r="D20" s="20"/>
    </row>
    <row r="21" spans="1:4" ht="31.2" x14ac:dyDescent="0.3">
      <c r="A21" s="90" t="s">
        <v>201</v>
      </c>
      <c r="B21" s="59" t="s">
        <v>440</v>
      </c>
      <c r="C21" s="37"/>
      <c r="D21" s="20"/>
    </row>
    <row r="22" spans="1:4" ht="15.6" x14ac:dyDescent="0.3">
      <c r="A22" s="90"/>
      <c r="B22" s="59" t="s">
        <v>434</v>
      </c>
      <c r="C22" s="37">
        <f>1.2*19430+4</f>
        <v>23320</v>
      </c>
      <c r="D22" s="20"/>
    </row>
    <row r="23" spans="1:4" ht="15.6" x14ac:dyDescent="0.3">
      <c r="A23" s="90"/>
      <c r="B23" s="59" t="s">
        <v>435</v>
      </c>
      <c r="C23" s="37">
        <f>1.2*18510+3</f>
        <v>22215</v>
      </c>
      <c r="D23" s="20"/>
    </row>
    <row r="24" spans="1:4" ht="15.6" x14ac:dyDescent="0.3">
      <c r="A24" s="90"/>
      <c r="B24" s="59" t="s">
        <v>438</v>
      </c>
      <c r="C24" s="37">
        <f>1.2*17585+3</f>
        <v>21105</v>
      </c>
      <c r="D24" s="20"/>
    </row>
    <row r="25" spans="1:4" ht="15.6" x14ac:dyDescent="0.3">
      <c r="A25" s="90"/>
      <c r="B25" s="59" t="s">
        <v>441</v>
      </c>
      <c r="C25" s="37">
        <f>1.2*16660+3</f>
        <v>19995</v>
      </c>
      <c r="D25" s="20"/>
    </row>
    <row r="26" spans="1:4" s="50" customFormat="1" ht="39" customHeight="1" x14ac:dyDescent="0.3">
      <c r="A26" s="62" t="s">
        <v>414</v>
      </c>
      <c r="B26" s="62" t="s">
        <v>240</v>
      </c>
      <c r="C26" s="88"/>
      <c r="D26" s="79"/>
    </row>
    <row r="27" spans="1:4" ht="15.6" x14ac:dyDescent="0.3">
      <c r="A27" s="90" t="s">
        <v>241</v>
      </c>
      <c r="B27" s="59" t="s">
        <v>442</v>
      </c>
      <c r="C27" s="37"/>
      <c r="D27" s="20"/>
    </row>
    <row r="28" spans="1:4" ht="15.6" x14ac:dyDescent="0.3">
      <c r="A28" s="90"/>
      <c r="B28" s="59" t="s">
        <v>258</v>
      </c>
      <c r="C28" s="37">
        <f>1.2*14075</f>
        <v>16890</v>
      </c>
      <c r="D28" s="20"/>
    </row>
    <row r="29" spans="1:4" ht="15.6" x14ac:dyDescent="0.3">
      <c r="A29" s="90"/>
      <c r="B29" s="59" t="s">
        <v>249</v>
      </c>
      <c r="C29" s="37">
        <f>1.2*13705+4</f>
        <v>16450</v>
      </c>
      <c r="D29" s="20"/>
    </row>
    <row r="30" spans="1:4" ht="15.6" x14ac:dyDescent="0.3">
      <c r="A30" s="90"/>
      <c r="B30" s="59" t="s">
        <v>250</v>
      </c>
      <c r="C30" s="37">
        <f>1.2*12585+3</f>
        <v>15105</v>
      </c>
      <c r="D30" s="20"/>
    </row>
    <row r="31" spans="1:4" ht="15.6" x14ac:dyDescent="0.3">
      <c r="A31" s="90"/>
      <c r="B31" s="59" t="s">
        <v>424</v>
      </c>
      <c r="C31" s="37" t="s">
        <v>538</v>
      </c>
      <c r="D31" s="20"/>
    </row>
    <row r="32" spans="1:4" ht="15.6" x14ac:dyDescent="0.3">
      <c r="A32" s="90" t="s">
        <v>246</v>
      </c>
      <c r="B32" s="59" t="s">
        <v>443</v>
      </c>
      <c r="C32" s="37"/>
      <c r="D32" s="20"/>
    </row>
    <row r="33" spans="1:4" ht="15.6" x14ac:dyDescent="0.3">
      <c r="A33" s="90"/>
      <c r="B33" s="59" t="s">
        <v>249</v>
      </c>
      <c r="C33" s="37">
        <f>1.2*14075</f>
        <v>16890</v>
      </c>
      <c r="D33" s="20"/>
    </row>
    <row r="34" spans="1:4" ht="15.6" x14ac:dyDescent="0.3">
      <c r="A34" s="90"/>
      <c r="B34" s="59" t="s">
        <v>250</v>
      </c>
      <c r="C34" s="37">
        <f>1.2*13705+4</f>
        <v>16450</v>
      </c>
      <c r="D34" s="20"/>
    </row>
    <row r="35" spans="1:4" ht="15.6" x14ac:dyDescent="0.3">
      <c r="A35" s="90"/>
      <c r="B35" s="59" t="s">
        <v>424</v>
      </c>
      <c r="C35" s="37" t="s">
        <v>539</v>
      </c>
      <c r="D35" s="20"/>
    </row>
    <row r="36" spans="1:4" ht="21.75" customHeight="1" x14ac:dyDescent="0.3">
      <c r="A36" s="59" t="s">
        <v>252</v>
      </c>
      <c r="B36" s="59" t="s">
        <v>444</v>
      </c>
      <c r="C36" s="37" t="s">
        <v>538</v>
      </c>
      <c r="D36" s="20"/>
    </row>
    <row r="37" spans="1:4" ht="15.6" x14ac:dyDescent="0.3">
      <c r="A37" s="90" t="s">
        <v>256</v>
      </c>
      <c r="B37" s="59" t="s">
        <v>445</v>
      </c>
      <c r="C37" s="37"/>
      <c r="D37" s="20"/>
    </row>
    <row r="38" spans="1:4" ht="15.6" x14ac:dyDescent="0.3">
      <c r="A38" s="90"/>
      <c r="B38" s="59" t="s">
        <v>249</v>
      </c>
      <c r="C38" s="37">
        <f>1.2*16480+4</f>
        <v>19780</v>
      </c>
      <c r="D38" s="20"/>
    </row>
    <row r="39" spans="1:4" ht="15.6" x14ac:dyDescent="0.3">
      <c r="A39" s="90"/>
      <c r="B39" s="59" t="s">
        <v>250</v>
      </c>
      <c r="C39" s="37">
        <f>1.2*14995+1</f>
        <v>17995</v>
      </c>
      <c r="D39" s="20"/>
    </row>
    <row r="40" spans="1:4" ht="15.6" x14ac:dyDescent="0.3">
      <c r="A40" s="90"/>
      <c r="B40" s="59" t="s">
        <v>424</v>
      </c>
      <c r="C40" s="37" t="s">
        <v>540</v>
      </c>
      <c r="D40" s="20"/>
    </row>
    <row r="41" spans="1:4" ht="15.6" x14ac:dyDescent="0.3">
      <c r="A41" s="90" t="s">
        <v>260</v>
      </c>
      <c r="B41" s="59" t="s">
        <v>446</v>
      </c>
      <c r="C41" s="37"/>
      <c r="D41" s="20"/>
    </row>
    <row r="42" spans="1:4" ht="15.6" x14ac:dyDescent="0.3">
      <c r="A42" s="90"/>
      <c r="B42" s="59" t="s">
        <v>249</v>
      </c>
      <c r="C42" s="37">
        <f>1.2*16480+4</f>
        <v>19780</v>
      </c>
      <c r="D42" s="20"/>
    </row>
    <row r="43" spans="1:4" ht="15.6" x14ac:dyDescent="0.3">
      <c r="A43" s="90"/>
      <c r="B43" s="59" t="s">
        <v>250</v>
      </c>
      <c r="C43" s="37">
        <f>1.2*14995+1</f>
        <v>17995</v>
      </c>
      <c r="D43" s="20"/>
    </row>
    <row r="44" spans="1:4" ht="15.6" x14ac:dyDescent="0.3">
      <c r="A44" s="90"/>
      <c r="B44" s="59" t="s">
        <v>424</v>
      </c>
      <c r="C44" s="37" t="s">
        <v>540</v>
      </c>
      <c r="D44" s="20"/>
    </row>
    <row r="45" spans="1:4" ht="15.6" x14ac:dyDescent="0.3">
      <c r="A45" s="90" t="s">
        <v>264</v>
      </c>
      <c r="B45" s="59" t="s">
        <v>447</v>
      </c>
      <c r="C45" s="37"/>
      <c r="D45" s="20"/>
    </row>
    <row r="46" spans="1:4" ht="15.6" x14ac:dyDescent="0.3">
      <c r="A46" s="90"/>
      <c r="B46" s="59" t="s">
        <v>249</v>
      </c>
      <c r="C46" s="37">
        <f>1.2*11300</f>
        <v>13560</v>
      </c>
      <c r="D46" s="20"/>
    </row>
    <row r="47" spans="1:4" ht="15.6" x14ac:dyDescent="0.3">
      <c r="A47" s="90"/>
      <c r="B47" s="59" t="s">
        <v>250</v>
      </c>
      <c r="C47" s="37">
        <f>1.2*10375</f>
        <v>12450</v>
      </c>
      <c r="D47" s="20"/>
    </row>
    <row r="48" spans="1:4" ht="15.6" x14ac:dyDescent="0.3">
      <c r="A48" s="90"/>
      <c r="B48" s="59" t="s">
        <v>424</v>
      </c>
      <c r="C48" s="37">
        <f>1.2*9460+3</f>
        <v>11355</v>
      </c>
      <c r="D48" s="20"/>
    </row>
    <row r="49" spans="1:4" ht="15.6" x14ac:dyDescent="0.3">
      <c r="A49" s="90" t="s">
        <v>270</v>
      </c>
      <c r="B49" s="59" t="s">
        <v>448</v>
      </c>
      <c r="C49" s="37"/>
      <c r="D49" s="20"/>
    </row>
    <row r="50" spans="1:4" ht="15.6" x14ac:dyDescent="0.3">
      <c r="A50" s="90"/>
      <c r="B50" s="59" t="s">
        <v>249</v>
      </c>
      <c r="C50" s="37">
        <f>1.2*11300</f>
        <v>13560</v>
      </c>
      <c r="D50" s="20"/>
    </row>
    <row r="51" spans="1:4" ht="15.6" x14ac:dyDescent="0.3">
      <c r="A51" s="90"/>
      <c r="B51" s="59" t="s">
        <v>250</v>
      </c>
      <c r="C51" s="37">
        <f>1.2*10375</f>
        <v>12450</v>
      </c>
      <c r="D51" s="20"/>
    </row>
    <row r="52" spans="1:4" ht="15.6" x14ac:dyDescent="0.3">
      <c r="A52" s="90"/>
      <c r="B52" s="59" t="s">
        <v>424</v>
      </c>
      <c r="C52" s="37">
        <f>1.2*9460</f>
        <v>11352</v>
      </c>
      <c r="D52" s="20"/>
    </row>
    <row r="53" spans="1:4" ht="15.6" x14ac:dyDescent="0.3">
      <c r="A53" s="90" t="s">
        <v>276</v>
      </c>
      <c r="B53" s="59" t="s">
        <v>453</v>
      </c>
      <c r="C53" s="37"/>
      <c r="D53" s="61"/>
    </row>
    <row r="54" spans="1:4" ht="15.6" x14ac:dyDescent="0.3">
      <c r="A54" s="90"/>
      <c r="B54" s="59" t="s">
        <v>249</v>
      </c>
      <c r="C54" s="37">
        <f>1.2*11300</f>
        <v>13560</v>
      </c>
      <c r="D54" s="20"/>
    </row>
    <row r="55" spans="1:4" ht="15.6" x14ac:dyDescent="0.3">
      <c r="A55" s="90"/>
      <c r="B55" s="59" t="s">
        <v>250</v>
      </c>
      <c r="C55" s="37">
        <f>1.2*10375</f>
        <v>12450</v>
      </c>
      <c r="D55" s="20"/>
    </row>
    <row r="56" spans="1:4" ht="15.6" x14ac:dyDescent="0.3">
      <c r="A56" s="90"/>
      <c r="B56" s="59" t="s">
        <v>424</v>
      </c>
      <c r="C56" s="37">
        <f>1.2*9460+3</f>
        <v>11355</v>
      </c>
      <c r="D56" s="20"/>
    </row>
    <row r="57" spans="1:4" ht="15.6" x14ac:dyDescent="0.3">
      <c r="A57" s="90" t="s">
        <v>278</v>
      </c>
      <c r="B57" s="59" t="s">
        <v>449</v>
      </c>
      <c r="C57" s="37"/>
      <c r="D57" s="20"/>
    </row>
    <row r="58" spans="1:4" ht="15.6" x14ac:dyDescent="0.3">
      <c r="A58" s="90"/>
      <c r="B58" s="59" t="s">
        <v>258</v>
      </c>
      <c r="C58" s="37">
        <f>1.2*14075</f>
        <v>16890</v>
      </c>
      <c r="D58" s="20"/>
    </row>
    <row r="59" spans="1:4" ht="15.6" x14ac:dyDescent="0.3">
      <c r="A59" s="90"/>
      <c r="B59" s="59" t="s">
        <v>249</v>
      </c>
      <c r="C59" s="37">
        <f>1.2*13705+4</f>
        <v>16450</v>
      </c>
      <c r="D59" s="20"/>
    </row>
    <row r="60" spans="1:4" ht="15.6" x14ac:dyDescent="0.3">
      <c r="A60" s="90"/>
      <c r="B60" s="59" t="s">
        <v>250</v>
      </c>
      <c r="C60" s="37">
        <f>1.2*12585+3</f>
        <v>15105</v>
      </c>
      <c r="D60" s="20"/>
    </row>
    <row r="61" spans="1:4" ht="15.6" x14ac:dyDescent="0.3">
      <c r="A61" s="90"/>
      <c r="B61" s="59" t="s">
        <v>424</v>
      </c>
      <c r="C61" s="37" t="s">
        <v>538</v>
      </c>
      <c r="D61" s="20"/>
    </row>
    <row r="62" spans="1:4" s="50" customFormat="1" ht="29.25" customHeight="1" x14ac:dyDescent="0.3">
      <c r="A62" s="62" t="s">
        <v>415</v>
      </c>
      <c r="B62" s="62" t="s">
        <v>355</v>
      </c>
      <c r="C62" s="88"/>
      <c r="D62" s="79"/>
    </row>
    <row r="63" spans="1:4" ht="15.6" x14ac:dyDescent="0.3">
      <c r="A63" s="59" t="s">
        <v>356</v>
      </c>
      <c r="B63" s="59" t="s">
        <v>450</v>
      </c>
      <c r="C63" s="37">
        <f>1.2*8130+4</f>
        <v>9760</v>
      </c>
      <c r="D63" s="20"/>
    </row>
    <row r="64" spans="1:4" ht="15.6" x14ac:dyDescent="0.3">
      <c r="A64" s="29"/>
    </row>
    <row r="65" spans="1:1" ht="15.6" x14ac:dyDescent="0.3">
      <c r="A65" s="29"/>
    </row>
  </sheetData>
  <mergeCells count="11">
    <mergeCell ref="A16:A20"/>
    <mergeCell ref="A21:A25"/>
    <mergeCell ref="A27:A31"/>
    <mergeCell ref="A10:A13"/>
    <mergeCell ref="A57:A61"/>
    <mergeCell ref="A32:A35"/>
    <mergeCell ref="A37:A40"/>
    <mergeCell ref="A41:A44"/>
    <mergeCell ref="A45:A48"/>
    <mergeCell ref="A49:A52"/>
    <mergeCell ref="A53:A56"/>
  </mergeCells>
  <pageMargins left="0.70866141732283472" right="0.70866141732283472" top="0.74803149606299213" bottom="0.74803149606299213" header="0.31496062992125984" footer="0.31496062992125984"/>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M15"/>
  <sheetViews>
    <sheetView workbookViewId="0">
      <selection activeCell="C4" sqref="C4"/>
    </sheetView>
  </sheetViews>
  <sheetFormatPr defaultRowHeight="14.4" x14ac:dyDescent="0.3"/>
  <cols>
    <col min="1" max="1" width="33.5546875" customWidth="1"/>
    <col min="2" max="11" width="9.6640625" customWidth="1"/>
  </cols>
  <sheetData>
    <row r="2" spans="1:13" x14ac:dyDescent="0.3">
      <c r="H2" s="17" t="s">
        <v>451</v>
      </c>
    </row>
    <row r="3" spans="1:13" x14ac:dyDescent="0.3">
      <c r="H3" s="17" t="s">
        <v>457</v>
      </c>
    </row>
    <row r="4" spans="1:13" ht="15.6" x14ac:dyDescent="0.3">
      <c r="A4" s="40"/>
      <c r="H4" s="17" t="s">
        <v>458</v>
      </c>
    </row>
    <row r="5" spans="1:13" ht="15.6" x14ac:dyDescent="0.3">
      <c r="A5" s="40"/>
      <c r="H5" s="17" t="s">
        <v>509</v>
      </c>
    </row>
    <row r="6" spans="1:13" ht="15.6" x14ac:dyDescent="0.3">
      <c r="A6" s="40"/>
      <c r="H6" s="17" t="s">
        <v>19</v>
      </c>
    </row>
    <row r="7" spans="1:13" ht="15.75" x14ac:dyDescent="0.25">
      <c r="A7" s="19"/>
    </row>
    <row r="8" spans="1:13" ht="44.25" customHeight="1" x14ac:dyDescent="0.3">
      <c r="A8" s="126" t="s">
        <v>515</v>
      </c>
      <c r="B8" s="96"/>
      <c r="C8" s="96"/>
      <c r="D8" s="96"/>
      <c r="E8" s="96"/>
      <c r="F8" s="96"/>
      <c r="G8" s="96"/>
      <c r="H8" s="96"/>
      <c r="I8" s="96"/>
      <c r="J8" s="96"/>
      <c r="K8" s="96"/>
    </row>
    <row r="10" spans="1:13" ht="15.75" x14ac:dyDescent="0.25">
      <c r="A10" s="40"/>
    </row>
    <row r="11" spans="1:13" ht="24.75" customHeight="1" x14ac:dyDescent="0.3">
      <c r="A11" s="90" t="s">
        <v>456</v>
      </c>
      <c r="B11" s="143" t="s">
        <v>452</v>
      </c>
      <c r="C11" s="143"/>
      <c r="D11" s="143"/>
      <c r="E11" s="143"/>
      <c r="F11" s="143"/>
      <c r="G11" s="143"/>
      <c r="H11" s="143"/>
      <c r="I11" s="143"/>
      <c r="J11" s="143"/>
      <c r="K11" s="143"/>
      <c r="L11" s="122"/>
      <c r="M11" s="144"/>
    </row>
    <row r="12" spans="1:13" ht="24.75" customHeight="1" x14ac:dyDescent="0.3">
      <c r="A12" s="91"/>
      <c r="B12" s="5">
        <v>1</v>
      </c>
      <c r="C12" s="5">
        <v>2</v>
      </c>
      <c r="D12" s="5">
        <v>3</v>
      </c>
      <c r="E12" s="5">
        <v>4</v>
      </c>
      <c r="F12" s="5">
        <v>5</v>
      </c>
      <c r="G12" s="5">
        <v>6</v>
      </c>
      <c r="H12" s="5">
        <v>7</v>
      </c>
      <c r="I12" s="5">
        <v>8</v>
      </c>
      <c r="J12" s="5">
        <v>9</v>
      </c>
      <c r="K12" s="5">
        <v>10</v>
      </c>
      <c r="L12" s="20"/>
      <c r="M12" s="20"/>
    </row>
    <row r="13" spans="1:13" ht="55.5" customHeight="1" x14ac:dyDescent="0.3">
      <c r="A13" s="74" t="s">
        <v>455</v>
      </c>
      <c r="B13" s="5">
        <v>1</v>
      </c>
      <c r="C13" s="5">
        <v>1.0409999999999999</v>
      </c>
      <c r="D13" s="5">
        <v>1.093</v>
      </c>
      <c r="E13" s="5">
        <v>1.143</v>
      </c>
      <c r="F13" s="5">
        <v>1.2729999999999999</v>
      </c>
      <c r="G13" s="5">
        <v>1.3080000000000001</v>
      </c>
      <c r="H13" s="5">
        <v>1.4410000000000001</v>
      </c>
      <c r="I13" s="5">
        <v>1.5820000000000001</v>
      </c>
      <c r="J13" s="5">
        <v>1.738</v>
      </c>
      <c r="K13" s="5">
        <v>1.905</v>
      </c>
      <c r="L13" s="75"/>
      <c r="M13" s="77"/>
    </row>
    <row r="14" spans="1:13" ht="55.5" customHeight="1" x14ac:dyDescent="0.3">
      <c r="A14" s="74" t="s">
        <v>454</v>
      </c>
      <c r="B14" s="25">
        <f>1.06*7270</f>
        <v>7706.2000000000007</v>
      </c>
      <c r="C14" s="25">
        <f>B14*C13</f>
        <v>8022.1541999999999</v>
      </c>
      <c r="D14" s="25">
        <f>B14*D13</f>
        <v>8422.8766000000014</v>
      </c>
      <c r="E14" s="25">
        <f>B14*E13</f>
        <v>8808.1866000000009</v>
      </c>
      <c r="F14" s="25">
        <f>B14*F13</f>
        <v>9809.9925999999996</v>
      </c>
      <c r="G14" s="25">
        <f>B14*G13</f>
        <v>10079.709600000002</v>
      </c>
      <c r="H14" s="25">
        <f>B14*H13</f>
        <v>11104.634200000002</v>
      </c>
      <c r="I14" s="25">
        <f>B14*I13</f>
        <v>12191.208400000001</v>
      </c>
      <c r="J14" s="25">
        <f>B14*J13</f>
        <v>13393.375600000001</v>
      </c>
      <c r="K14" s="25">
        <f>B14*K13</f>
        <v>14680.311000000002</v>
      </c>
      <c r="L14" s="75"/>
      <c r="M14" s="77"/>
    </row>
    <row r="15" spans="1:13" ht="15.6" x14ac:dyDescent="0.3">
      <c r="A15" s="40"/>
    </row>
  </sheetData>
  <mergeCells count="4">
    <mergeCell ref="A11:A12"/>
    <mergeCell ref="A8:K8"/>
    <mergeCell ref="B11:K11"/>
    <mergeCell ref="L11:M11"/>
  </mergeCells>
  <pageMargins left="0.70866141732283472" right="0.70866141732283472" top="0.74803149606299213" bottom="0.74803149606299213" header="0.31496062992125984" footer="0.31496062992125984"/>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7"/>
  <sheetViews>
    <sheetView workbookViewId="0">
      <selection activeCell="C4" sqref="C4"/>
    </sheetView>
  </sheetViews>
  <sheetFormatPr defaultRowHeight="14.4" x14ac:dyDescent="0.3"/>
  <cols>
    <col min="1" max="1" width="4.88671875" customWidth="1"/>
    <col min="2" max="2" width="39.44140625" customWidth="1"/>
    <col min="3" max="6" width="10.6640625" customWidth="1"/>
  </cols>
  <sheetData>
    <row r="1" spans="1:7" ht="15" x14ac:dyDescent="0.25">
      <c r="B1">
        <v>2</v>
      </c>
    </row>
    <row r="2" spans="1:7" ht="15.6" x14ac:dyDescent="0.3">
      <c r="F2" s="18" t="s">
        <v>21</v>
      </c>
    </row>
    <row r="3" spans="1:7" x14ac:dyDescent="0.3">
      <c r="A3" s="101" t="s">
        <v>462</v>
      </c>
      <c r="B3" s="96"/>
      <c r="C3" s="96"/>
      <c r="D3" s="96"/>
      <c r="E3" s="96"/>
      <c r="F3" s="96"/>
    </row>
    <row r="4" spans="1:7" ht="7.2" customHeight="1" x14ac:dyDescent="0.25">
      <c r="A4" s="19"/>
    </row>
    <row r="5" spans="1:7" ht="17.25" customHeight="1" x14ac:dyDescent="0.3">
      <c r="A5" s="111" t="s">
        <v>22</v>
      </c>
      <c r="B5" s="9" t="s">
        <v>23</v>
      </c>
      <c r="C5" s="90" t="s">
        <v>5</v>
      </c>
      <c r="D5" s="90"/>
      <c r="E5" s="90"/>
      <c r="F5" s="90"/>
      <c r="G5" s="20"/>
    </row>
    <row r="6" spans="1:7" ht="17.25" customHeight="1" x14ac:dyDescent="0.3">
      <c r="A6" s="112"/>
      <c r="B6" s="10" t="s">
        <v>24</v>
      </c>
      <c r="C6" s="90" t="s">
        <v>8</v>
      </c>
      <c r="D6" s="90"/>
      <c r="E6" s="90"/>
      <c r="F6" s="90"/>
      <c r="G6" s="20"/>
    </row>
    <row r="7" spans="1:7" ht="15.6" x14ac:dyDescent="0.3">
      <c r="A7" s="113"/>
      <c r="B7" s="22"/>
      <c r="C7" s="5" t="s">
        <v>9</v>
      </c>
      <c r="D7" s="5" t="s">
        <v>10</v>
      </c>
      <c r="E7" s="5" t="s">
        <v>11</v>
      </c>
      <c r="F7" s="5" t="s">
        <v>12</v>
      </c>
      <c r="G7" s="21"/>
    </row>
    <row r="8" spans="1:7" s="13" customFormat="1" ht="12.6" customHeight="1" x14ac:dyDescent="0.25">
      <c r="A8" s="5">
        <v>1</v>
      </c>
      <c r="B8" s="5">
        <v>2</v>
      </c>
      <c r="C8" s="5">
        <v>3</v>
      </c>
      <c r="D8" s="5">
        <v>4</v>
      </c>
      <c r="E8" s="5">
        <v>5</v>
      </c>
      <c r="F8" s="5">
        <v>6</v>
      </c>
      <c r="G8" s="21"/>
    </row>
    <row r="9" spans="1:7" ht="49.5" customHeight="1" x14ac:dyDescent="0.3">
      <c r="A9" s="90">
        <v>1</v>
      </c>
      <c r="B9" s="8" t="s">
        <v>16</v>
      </c>
      <c r="C9" s="8"/>
      <c r="D9" s="8"/>
      <c r="E9" s="8"/>
      <c r="F9" s="8"/>
      <c r="G9" s="20"/>
    </row>
    <row r="10" spans="1:7" ht="18" customHeight="1" x14ac:dyDescent="0.3">
      <c r="A10" s="90"/>
      <c r="B10" s="8" t="s">
        <v>14</v>
      </c>
      <c r="C10" s="24">
        <f>1.06*24290+3</f>
        <v>25750.400000000001</v>
      </c>
      <c r="D10" s="24">
        <f>1.06*23130+2</f>
        <v>24519.800000000003</v>
      </c>
      <c r="E10" s="24">
        <f>1.06*21980+1</f>
        <v>23299.800000000003</v>
      </c>
      <c r="F10" s="24">
        <f>1.06*20815+1</f>
        <v>22064.9</v>
      </c>
      <c r="G10" s="20"/>
    </row>
    <row r="11" spans="1:7" ht="18" customHeight="1" x14ac:dyDescent="0.3">
      <c r="A11" s="90"/>
      <c r="B11" s="8" t="s">
        <v>15</v>
      </c>
      <c r="C11" s="24">
        <f>1.06*23130+2</f>
        <v>24519.800000000003</v>
      </c>
      <c r="D11" s="24">
        <f>1.06*21980+1</f>
        <v>23299.800000000003</v>
      </c>
      <c r="E11" s="24">
        <f>1.06*20815+1</f>
        <v>22064.9</v>
      </c>
      <c r="F11" s="24">
        <f>1.06*20585+5</f>
        <v>21825.100000000002</v>
      </c>
      <c r="G11" s="20"/>
    </row>
    <row r="12" spans="1:7" ht="45" customHeight="1" x14ac:dyDescent="0.3">
      <c r="A12" s="8">
        <v>2</v>
      </c>
      <c r="B12" s="8" t="s">
        <v>17</v>
      </c>
      <c r="C12" s="24">
        <f>1.06*22040+3</f>
        <v>23365.4</v>
      </c>
      <c r="D12" s="24">
        <f>1.06*21045+2</f>
        <v>22309.7</v>
      </c>
      <c r="E12" s="24">
        <f>1.06*20050+2</f>
        <v>21255</v>
      </c>
      <c r="F12" s="24">
        <f>1.06*19040+3</f>
        <v>20185.400000000001</v>
      </c>
      <c r="G12" s="26"/>
    </row>
    <row r="13" spans="1:7" ht="12.75" customHeight="1" x14ac:dyDescent="0.25">
      <c r="A13" s="26"/>
      <c r="B13" s="26"/>
      <c r="C13" s="27"/>
      <c r="D13" s="27"/>
      <c r="E13" s="27"/>
      <c r="F13" s="27"/>
      <c r="G13" s="26"/>
    </row>
    <row r="14" spans="1:7" ht="15.6" x14ac:dyDescent="0.3">
      <c r="F14" s="18" t="s">
        <v>25</v>
      </c>
    </row>
    <row r="15" spans="1:7" ht="15.75" customHeight="1" x14ac:dyDescent="0.3">
      <c r="A15" s="101" t="s">
        <v>26</v>
      </c>
      <c r="B15" s="96"/>
      <c r="C15" s="96"/>
      <c r="D15" s="96"/>
      <c r="E15" s="96"/>
      <c r="F15" s="96"/>
    </row>
    <row r="16" spans="1:7" ht="82.5" customHeight="1" x14ac:dyDescent="0.3">
      <c r="A16" s="102" t="s">
        <v>463</v>
      </c>
      <c r="B16" s="103"/>
      <c r="C16" s="103"/>
      <c r="D16" s="103"/>
      <c r="E16" s="103"/>
      <c r="F16" s="103"/>
    </row>
    <row r="17" spans="1:6" ht="28.5" customHeight="1" x14ac:dyDescent="0.3">
      <c r="A17" s="9" t="s">
        <v>3</v>
      </c>
      <c r="B17" s="9" t="s">
        <v>4</v>
      </c>
      <c r="C17" s="104" t="s">
        <v>465</v>
      </c>
      <c r="D17" s="105"/>
      <c r="E17" s="105"/>
      <c r="F17" s="106"/>
    </row>
    <row r="18" spans="1:6" ht="16.2" customHeight="1" x14ac:dyDescent="0.3">
      <c r="A18" s="10" t="s">
        <v>27</v>
      </c>
      <c r="B18" s="10" t="s">
        <v>7</v>
      </c>
      <c r="C18" s="107" t="s">
        <v>464</v>
      </c>
      <c r="D18" s="108"/>
      <c r="E18" s="108"/>
      <c r="F18" s="109"/>
    </row>
    <row r="19" spans="1:6" ht="15.6" x14ac:dyDescent="0.3">
      <c r="A19" s="22"/>
      <c r="B19" s="28"/>
      <c r="C19" s="5" t="s">
        <v>9</v>
      </c>
      <c r="D19" s="5" t="s">
        <v>10</v>
      </c>
      <c r="E19" s="5" t="s">
        <v>11</v>
      </c>
      <c r="F19" s="5" t="s">
        <v>12</v>
      </c>
    </row>
    <row r="20" spans="1:6" s="13" customFormat="1" ht="15.6" x14ac:dyDescent="0.3">
      <c r="A20" s="5">
        <v>1</v>
      </c>
      <c r="B20" s="5">
        <v>2</v>
      </c>
      <c r="C20" s="5">
        <v>3</v>
      </c>
      <c r="D20" s="5">
        <v>4</v>
      </c>
      <c r="E20" s="5">
        <v>5</v>
      </c>
      <c r="F20" s="5">
        <v>6</v>
      </c>
    </row>
    <row r="21" spans="1:6" ht="15.6" x14ac:dyDescent="0.3">
      <c r="A21" s="90">
        <v>1</v>
      </c>
      <c r="B21" s="8" t="s">
        <v>466</v>
      </c>
      <c r="C21" s="5"/>
      <c r="D21" s="5"/>
      <c r="E21" s="5"/>
      <c r="F21" s="5"/>
    </row>
    <row r="22" spans="1:6" ht="18" customHeight="1" x14ac:dyDescent="0.3">
      <c r="A22" s="90"/>
      <c r="B22" s="8" t="s">
        <v>28</v>
      </c>
      <c r="C22" s="5">
        <v>2</v>
      </c>
      <c r="D22" s="5">
        <v>1.8</v>
      </c>
      <c r="E22" s="5">
        <v>1.6</v>
      </c>
      <c r="F22" s="5">
        <v>1.4</v>
      </c>
    </row>
    <row r="23" spans="1:6" ht="18" customHeight="1" x14ac:dyDescent="0.3">
      <c r="A23" s="90"/>
      <c r="B23" s="8" t="s">
        <v>29</v>
      </c>
      <c r="C23" s="5">
        <v>1.75</v>
      </c>
      <c r="D23" s="5">
        <v>1.55</v>
      </c>
      <c r="E23" s="5">
        <v>1.35</v>
      </c>
      <c r="F23" s="5">
        <v>1.1499999999999999</v>
      </c>
    </row>
    <row r="24" spans="1:6" ht="58.8" customHeight="1" x14ac:dyDescent="0.3">
      <c r="A24" s="90">
        <v>2</v>
      </c>
      <c r="B24" s="9" t="s">
        <v>468</v>
      </c>
      <c r="C24" s="5"/>
      <c r="D24" s="5"/>
      <c r="E24" s="5"/>
      <c r="F24" s="5"/>
    </row>
    <row r="25" spans="1:6" ht="18" customHeight="1" x14ac:dyDescent="0.3">
      <c r="A25" s="110"/>
      <c r="B25" s="8" t="s">
        <v>28</v>
      </c>
      <c r="C25" s="5">
        <v>1.95</v>
      </c>
      <c r="D25" s="5">
        <v>1.75</v>
      </c>
      <c r="E25" s="5">
        <v>1.55</v>
      </c>
      <c r="F25" s="5">
        <v>1.35</v>
      </c>
    </row>
    <row r="26" spans="1:6" ht="18" customHeight="1" x14ac:dyDescent="0.3">
      <c r="A26" s="110"/>
      <c r="B26" s="8" t="s">
        <v>29</v>
      </c>
      <c r="C26" s="5">
        <v>1.7</v>
      </c>
      <c r="D26" s="5">
        <v>1.5</v>
      </c>
      <c r="E26" s="5">
        <v>1.3</v>
      </c>
      <c r="F26" s="5">
        <v>1.1000000000000001</v>
      </c>
    </row>
    <row r="27" spans="1:6" ht="152.4" customHeight="1" x14ac:dyDescent="0.3">
      <c r="A27" s="8">
        <v>3</v>
      </c>
      <c r="B27" s="8" t="s">
        <v>467</v>
      </c>
      <c r="C27" s="5">
        <v>1.65</v>
      </c>
      <c r="D27" s="5">
        <v>1.45</v>
      </c>
      <c r="E27" s="5">
        <v>1.25</v>
      </c>
      <c r="F27" s="5">
        <v>1.05</v>
      </c>
    </row>
  </sheetData>
  <mergeCells count="11">
    <mergeCell ref="A21:A23"/>
    <mergeCell ref="A24:A26"/>
    <mergeCell ref="A5:A7"/>
    <mergeCell ref="C5:F5"/>
    <mergeCell ref="C6:F6"/>
    <mergeCell ref="A9:A11"/>
    <mergeCell ref="A3:F3"/>
    <mergeCell ref="A15:F15"/>
    <mergeCell ref="A16:F16"/>
    <mergeCell ref="C17:F17"/>
    <mergeCell ref="C18:F18"/>
  </mergeCells>
  <pageMargins left="0.70866141732283472" right="0.70866141732283472" top="0.74803149606299213" bottom="0.74803149606299213" header="0.31496062992125984" footer="0.31496062992125984"/>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6"/>
  <sheetViews>
    <sheetView workbookViewId="0">
      <selection activeCell="A4" sqref="A4:F4"/>
    </sheetView>
  </sheetViews>
  <sheetFormatPr defaultRowHeight="14.4" x14ac:dyDescent="0.3"/>
  <cols>
    <col min="1" max="1" width="4.88671875" customWidth="1"/>
    <col min="2" max="2" width="39.44140625" customWidth="1"/>
    <col min="3" max="6" width="10.6640625" customWidth="1"/>
  </cols>
  <sheetData>
    <row r="1" spans="1:6" ht="15" x14ac:dyDescent="0.25">
      <c r="B1">
        <v>3</v>
      </c>
    </row>
    <row r="2" spans="1:6" ht="129" customHeight="1" x14ac:dyDescent="0.3">
      <c r="A2" s="116" t="s">
        <v>469</v>
      </c>
      <c r="B2" s="96"/>
      <c r="C2" s="96"/>
      <c r="D2" s="96"/>
      <c r="E2" s="96"/>
      <c r="F2" s="96"/>
    </row>
    <row r="3" spans="1:6" ht="27" customHeight="1" x14ac:dyDescent="0.3">
      <c r="F3" s="18" t="s">
        <v>30</v>
      </c>
    </row>
    <row r="4" spans="1:6" ht="16.5" customHeight="1" x14ac:dyDescent="0.3">
      <c r="A4" s="101" t="s">
        <v>31</v>
      </c>
      <c r="B4" s="96"/>
      <c r="C4" s="96"/>
      <c r="D4" s="96"/>
      <c r="E4" s="96"/>
      <c r="F4" s="96"/>
    </row>
    <row r="5" spans="1:6" ht="33.75" customHeight="1" x14ac:dyDescent="0.3">
      <c r="A5" s="117" t="s">
        <v>470</v>
      </c>
      <c r="B5" s="118"/>
      <c r="C5" s="118"/>
      <c r="D5" s="118"/>
      <c r="E5" s="118"/>
      <c r="F5" s="118"/>
    </row>
    <row r="6" spans="1:6" ht="47.25" customHeight="1" x14ac:dyDescent="0.3">
      <c r="A6" s="9" t="s">
        <v>3</v>
      </c>
      <c r="B6" s="30" t="s">
        <v>32</v>
      </c>
      <c r="C6" s="90" t="s">
        <v>472</v>
      </c>
      <c r="D6" s="90"/>
      <c r="E6" s="90"/>
      <c r="F6" s="90"/>
    </row>
    <row r="7" spans="1:6" ht="15.6" x14ac:dyDescent="0.3">
      <c r="A7" s="10" t="s">
        <v>6</v>
      </c>
      <c r="B7" s="7" t="s">
        <v>33</v>
      </c>
      <c r="C7" s="5" t="s">
        <v>9</v>
      </c>
      <c r="D7" s="5" t="s">
        <v>10</v>
      </c>
      <c r="E7" s="5" t="s">
        <v>11</v>
      </c>
      <c r="F7" s="5" t="s">
        <v>12</v>
      </c>
    </row>
    <row r="8" spans="1:6" s="13" customFormat="1" ht="15.75" x14ac:dyDescent="0.25">
      <c r="A8" s="5">
        <v>1</v>
      </c>
      <c r="B8" s="5">
        <v>2</v>
      </c>
      <c r="C8" s="5">
        <v>3</v>
      </c>
      <c r="D8" s="5">
        <v>4</v>
      </c>
      <c r="E8" s="5">
        <v>5</v>
      </c>
      <c r="F8" s="5">
        <v>6</v>
      </c>
    </row>
    <row r="9" spans="1:6" ht="18" customHeight="1" x14ac:dyDescent="0.3">
      <c r="A9" s="90">
        <v>1</v>
      </c>
      <c r="B9" s="8" t="s">
        <v>13</v>
      </c>
      <c r="C9" s="5"/>
      <c r="D9" s="5"/>
      <c r="E9" s="5"/>
      <c r="F9" s="5"/>
    </row>
    <row r="10" spans="1:6" ht="18" customHeight="1" x14ac:dyDescent="0.3">
      <c r="A10" s="90"/>
      <c r="B10" s="8" t="s">
        <v>14</v>
      </c>
      <c r="C10" s="5">
        <v>1.7</v>
      </c>
      <c r="D10" s="5">
        <v>1.5</v>
      </c>
      <c r="E10" s="5">
        <v>1.3</v>
      </c>
      <c r="F10" s="5">
        <v>1.2</v>
      </c>
    </row>
    <row r="11" spans="1:6" ht="18" customHeight="1" x14ac:dyDescent="0.3">
      <c r="A11" s="90"/>
      <c r="B11" s="8" t="s">
        <v>15</v>
      </c>
      <c r="C11" s="5">
        <v>1.5</v>
      </c>
      <c r="D11" s="5">
        <v>1.35</v>
      </c>
      <c r="E11" s="5">
        <v>1.1499999999999999</v>
      </c>
      <c r="F11" s="5">
        <v>1.1000000000000001</v>
      </c>
    </row>
    <row r="12" spans="1:6" ht="65.25" customHeight="1" x14ac:dyDescent="0.3">
      <c r="A12" s="90">
        <v>2</v>
      </c>
      <c r="B12" s="8" t="s">
        <v>473</v>
      </c>
      <c r="C12" s="5"/>
      <c r="D12" s="5"/>
      <c r="E12" s="5"/>
      <c r="F12" s="5"/>
    </row>
    <row r="13" spans="1:6" ht="18" customHeight="1" x14ac:dyDescent="0.3">
      <c r="A13" s="90"/>
      <c r="B13" s="8" t="s">
        <v>14</v>
      </c>
      <c r="C13" s="5">
        <v>1.65</v>
      </c>
      <c r="D13" s="5">
        <v>1.45</v>
      </c>
      <c r="E13" s="5">
        <v>1.25</v>
      </c>
      <c r="F13" s="5">
        <v>1.1499999999999999</v>
      </c>
    </row>
    <row r="14" spans="1:6" ht="18" customHeight="1" x14ac:dyDescent="0.3">
      <c r="A14" s="90"/>
      <c r="B14" s="8" t="s">
        <v>15</v>
      </c>
      <c r="C14" s="5">
        <v>1.45</v>
      </c>
      <c r="D14" s="5">
        <v>1.3</v>
      </c>
      <c r="E14" s="5">
        <v>1.1000000000000001</v>
      </c>
      <c r="F14" s="5">
        <v>1.05</v>
      </c>
    </row>
    <row r="15" spans="1:6" ht="155.4" customHeight="1" x14ac:dyDescent="0.3">
      <c r="A15" s="8">
        <v>3</v>
      </c>
      <c r="B15" s="8" t="s">
        <v>467</v>
      </c>
      <c r="C15" s="5">
        <v>1.35</v>
      </c>
      <c r="D15" s="5">
        <v>1.1499999999999999</v>
      </c>
      <c r="E15" s="5">
        <v>1.05</v>
      </c>
      <c r="F15" s="5">
        <v>1</v>
      </c>
    </row>
    <row r="16" spans="1:6" ht="115.5" customHeight="1" x14ac:dyDescent="0.3">
      <c r="A16" s="114" t="s">
        <v>474</v>
      </c>
      <c r="B16" s="115"/>
      <c r="C16" s="115"/>
      <c r="D16" s="115"/>
      <c r="E16" s="115"/>
      <c r="F16" s="115"/>
    </row>
  </sheetData>
  <mergeCells count="7">
    <mergeCell ref="A16:F16"/>
    <mergeCell ref="C6:F6"/>
    <mergeCell ref="A9:A11"/>
    <mergeCell ref="A12:A14"/>
    <mergeCell ref="A2:F2"/>
    <mergeCell ref="A4:F4"/>
    <mergeCell ref="A5:F5"/>
  </mergeCells>
  <pageMargins left="0.70866141732283472" right="0.70866141732283472" top="0.74803149606299213" bottom="0.74803149606299213" header="0.31496062992125984" footer="0.31496062992125984"/>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0"/>
  <sheetViews>
    <sheetView topLeftCell="A16" workbookViewId="0">
      <selection activeCell="C4" sqref="C4"/>
    </sheetView>
  </sheetViews>
  <sheetFormatPr defaultRowHeight="14.4" x14ac:dyDescent="0.3"/>
  <cols>
    <col min="1" max="1" width="4.88671875" customWidth="1"/>
    <col min="2" max="2" width="39.44140625" customWidth="1"/>
    <col min="3" max="6" width="10.6640625" customWidth="1"/>
  </cols>
  <sheetData>
    <row r="1" spans="1:6" ht="15" x14ac:dyDescent="0.25">
      <c r="B1">
        <v>4</v>
      </c>
    </row>
    <row r="2" spans="1:6" ht="15.6" x14ac:dyDescent="0.3">
      <c r="F2" s="18" t="s">
        <v>34</v>
      </c>
    </row>
    <row r="3" spans="1:6" ht="39.75" customHeight="1" x14ac:dyDescent="0.3">
      <c r="A3" s="117" t="s">
        <v>475</v>
      </c>
      <c r="B3" s="118"/>
      <c r="C3" s="118"/>
      <c r="D3" s="118"/>
      <c r="E3" s="118"/>
      <c r="F3" s="118"/>
    </row>
    <row r="4" spans="1:6" ht="15.6" x14ac:dyDescent="0.3">
      <c r="A4" s="9" t="s">
        <v>3</v>
      </c>
      <c r="B4" s="9"/>
      <c r="C4" s="90" t="s">
        <v>5</v>
      </c>
      <c r="D4" s="90"/>
      <c r="E4" s="90"/>
      <c r="F4" s="90"/>
    </row>
    <row r="5" spans="1:6" ht="15.6" x14ac:dyDescent="0.3">
      <c r="A5" s="112" t="s">
        <v>6</v>
      </c>
      <c r="B5" s="10" t="s">
        <v>4</v>
      </c>
      <c r="C5" s="90" t="s">
        <v>8</v>
      </c>
      <c r="D5" s="90"/>
      <c r="E5" s="90"/>
      <c r="F5" s="90"/>
    </row>
    <row r="6" spans="1:6" ht="15.6" x14ac:dyDescent="0.3">
      <c r="A6" s="112"/>
      <c r="B6" s="10" t="s">
        <v>7</v>
      </c>
      <c r="C6" s="90"/>
      <c r="D6" s="90"/>
      <c r="E6" s="90"/>
      <c r="F6" s="90"/>
    </row>
    <row r="7" spans="1:6" ht="15.75" x14ac:dyDescent="0.25">
      <c r="A7" s="7"/>
      <c r="B7" s="7"/>
      <c r="C7" s="5" t="s">
        <v>9</v>
      </c>
      <c r="D7" s="5" t="s">
        <v>10</v>
      </c>
      <c r="E7" s="5" t="s">
        <v>11</v>
      </c>
      <c r="F7" s="5" t="s">
        <v>12</v>
      </c>
    </row>
    <row r="8" spans="1:6" s="13" customFormat="1" ht="15.75" x14ac:dyDescent="0.25">
      <c r="A8" s="11">
        <v>1</v>
      </c>
      <c r="B8" s="5">
        <v>2</v>
      </c>
      <c r="C8" s="5">
        <v>3</v>
      </c>
      <c r="D8" s="5">
        <v>4</v>
      </c>
      <c r="E8" s="5">
        <v>5</v>
      </c>
      <c r="F8" s="5">
        <v>6</v>
      </c>
    </row>
    <row r="9" spans="1:6" ht="31.2" x14ac:dyDescent="0.3">
      <c r="A9" s="31">
        <v>1</v>
      </c>
      <c r="B9" s="8" t="s">
        <v>35</v>
      </c>
      <c r="C9" s="35"/>
      <c r="D9" s="35"/>
      <c r="E9" s="35"/>
      <c r="F9" s="35"/>
    </row>
    <row r="10" spans="1:6" ht="18" customHeight="1" x14ac:dyDescent="0.3">
      <c r="A10" s="32"/>
      <c r="B10" s="8" t="s">
        <v>14</v>
      </c>
      <c r="C10" s="37">
        <f>1.06*23945+3</f>
        <v>25384.7</v>
      </c>
      <c r="D10" s="37">
        <f>1.06*22905+1</f>
        <v>24280.300000000003</v>
      </c>
      <c r="E10" s="37">
        <f>1.06*21875+2</f>
        <v>23189.5</v>
      </c>
      <c r="F10" s="37">
        <f>1.06*20840+5</f>
        <v>22095.4</v>
      </c>
    </row>
    <row r="11" spans="1:6" ht="18" customHeight="1" x14ac:dyDescent="0.3">
      <c r="A11" s="33"/>
      <c r="B11" s="8" t="s">
        <v>15</v>
      </c>
      <c r="C11" s="37">
        <f>1.06*22905+1</f>
        <v>24280.300000000003</v>
      </c>
      <c r="D11" s="37">
        <f>1.06*21875+2</f>
        <v>23189.5</v>
      </c>
      <c r="E11" s="37">
        <f>1.06*20840+5</f>
        <v>22095.4</v>
      </c>
      <c r="F11" s="37">
        <f>1.06*20460+2</f>
        <v>21689.600000000002</v>
      </c>
    </row>
    <row r="12" spans="1:6" ht="46.8" x14ac:dyDescent="0.3">
      <c r="A12" s="31">
        <v>2</v>
      </c>
      <c r="B12" s="8" t="s">
        <v>36</v>
      </c>
      <c r="C12" s="38"/>
      <c r="D12" s="38"/>
      <c r="E12" s="38"/>
      <c r="F12" s="38"/>
    </row>
    <row r="13" spans="1:6" ht="18" customHeight="1" x14ac:dyDescent="0.3">
      <c r="A13" s="32"/>
      <c r="B13" s="8" t="s">
        <v>14</v>
      </c>
      <c r="C13" s="37">
        <f>1.06*22760+4</f>
        <v>24129.600000000002</v>
      </c>
      <c r="D13" s="37">
        <f>1.06*21725+1</f>
        <v>23029.5</v>
      </c>
      <c r="E13" s="37">
        <f>1.06*20700+3</f>
        <v>21945</v>
      </c>
      <c r="F13" s="37">
        <f>1.06*19665</f>
        <v>20844.900000000001</v>
      </c>
    </row>
    <row r="14" spans="1:6" ht="18" customHeight="1" x14ac:dyDescent="0.3">
      <c r="A14" s="33"/>
      <c r="B14" s="8" t="s">
        <v>15</v>
      </c>
      <c r="C14" s="37">
        <f>1.06*21725+1</f>
        <v>23029.5</v>
      </c>
      <c r="D14" s="37">
        <f>1.06*20700+3</f>
        <v>21945</v>
      </c>
      <c r="E14" s="37">
        <f>1.06*19665</f>
        <v>20844.900000000001</v>
      </c>
      <c r="F14" s="37">
        <f>1.06*18635+2</f>
        <v>19755.100000000002</v>
      </c>
    </row>
    <row r="15" spans="1:6" ht="48" customHeight="1" x14ac:dyDescent="0.3">
      <c r="A15" s="31">
        <v>3</v>
      </c>
      <c r="B15" s="8" t="s">
        <v>16</v>
      </c>
      <c r="C15" s="38"/>
      <c r="D15" s="38"/>
      <c r="E15" s="38"/>
      <c r="F15" s="38"/>
    </row>
    <row r="16" spans="1:6" ht="18" customHeight="1" x14ac:dyDescent="0.3">
      <c r="A16" s="32"/>
      <c r="B16" s="8" t="s">
        <v>14</v>
      </c>
      <c r="C16" s="37">
        <f>1.06*23150+1</f>
        <v>24540</v>
      </c>
      <c r="D16" s="37">
        <f>1.06*22050+2</f>
        <v>23375</v>
      </c>
      <c r="E16" s="37">
        <f>1.06*20940+4</f>
        <v>22200.400000000001</v>
      </c>
      <c r="F16" s="37">
        <f>1.06*19845+4</f>
        <v>21039.7</v>
      </c>
    </row>
    <row r="17" spans="1:6" ht="18" customHeight="1" x14ac:dyDescent="0.3">
      <c r="A17" s="33"/>
      <c r="B17" s="8" t="s">
        <v>15</v>
      </c>
      <c r="C17" s="37">
        <f>1.06*22050+2</f>
        <v>23375</v>
      </c>
      <c r="D17" s="37">
        <f>1.06*20940+4</f>
        <v>22200.400000000001</v>
      </c>
      <c r="E17" s="37">
        <f>1.06*19845+4</f>
        <v>21039.7</v>
      </c>
      <c r="F17" s="37">
        <f>1.06*19630+2</f>
        <v>20809.8</v>
      </c>
    </row>
    <row r="18" spans="1:6" ht="46.8" x14ac:dyDescent="0.3">
      <c r="A18" s="34">
        <v>4</v>
      </c>
      <c r="B18" s="8" t="s">
        <v>17</v>
      </c>
      <c r="C18" s="37">
        <f>1.06*22040+3</f>
        <v>23365.4</v>
      </c>
      <c r="D18" s="37">
        <f>1.06*21045+2</f>
        <v>22309.7</v>
      </c>
      <c r="E18" s="37">
        <f>1.06*20050+2</f>
        <v>21255</v>
      </c>
      <c r="F18" s="37">
        <f>1.06*19040+3</f>
        <v>20185.400000000001</v>
      </c>
    </row>
    <row r="19" spans="1:6" ht="120" customHeight="1" x14ac:dyDescent="0.3">
      <c r="A19" s="114" t="s">
        <v>476</v>
      </c>
      <c r="B19" s="115"/>
      <c r="C19" s="115"/>
      <c r="D19" s="115"/>
      <c r="E19" s="115"/>
      <c r="F19" s="115"/>
    </row>
    <row r="20" spans="1:6" ht="122.25" customHeight="1" x14ac:dyDescent="0.3">
      <c r="A20" s="116" t="s">
        <v>477</v>
      </c>
      <c r="B20" s="96"/>
      <c r="C20" s="96"/>
      <c r="D20" s="96"/>
      <c r="E20" s="96"/>
      <c r="F20" s="96"/>
    </row>
  </sheetData>
  <mergeCells count="6">
    <mergeCell ref="A20:F20"/>
    <mergeCell ref="C4:F4"/>
    <mergeCell ref="A5:A6"/>
    <mergeCell ref="C5:F6"/>
    <mergeCell ref="A3:F3"/>
    <mergeCell ref="A19:F19"/>
  </mergeCells>
  <pageMargins left="0.70866141732283472" right="0.70866141732283472" top="0.74803149606299213" bottom="0.74803149606299213" header="0.31496062992125984" footer="0.31496062992125984"/>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1"/>
  <sheetViews>
    <sheetView topLeftCell="A10" workbookViewId="0">
      <selection activeCell="C4" sqref="C4"/>
    </sheetView>
  </sheetViews>
  <sheetFormatPr defaultRowHeight="14.4" x14ac:dyDescent="0.3"/>
  <cols>
    <col min="1" max="1" width="4.88671875" customWidth="1"/>
    <col min="2" max="2" width="39.44140625" customWidth="1"/>
    <col min="3" max="6" width="10.6640625" customWidth="1"/>
  </cols>
  <sheetData>
    <row r="1" spans="1:6" ht="15" x14ac:dyDescent="0.25">
      <c r="B1">
        <v>5</v>
      </c>
    </row>
    <row r="2" spans="1:6" ht="15.6" x14ac:dyDescent="0.3">
      <c r="F2" s="18" t="s">
        <v>37</v>
      </c>
    </row>
    <row r="3" spans="1:6" x14ac:dyDescent="0.3">
      <c r="A3" s="101" t="s">
        <v>2</v>
      </c>
      <c r="B3" s="96"/>
      <c r="C3" s="96"/>
      <c r="D3" s="96"/>
      <c r="E3" s="96"/>
      <c r="F3" s="96"/>
    </row>
    <row r="4" spans="1:6" ht="196.5" customHeight="1" x14ac:dyDescent="0.3">
      <c r="A4" s="119" t="s">
        <v>478</v>
      </c>
      <c r="B4" s="120"/>
      <c r="C4" s="120"/>
      <c r="D4" s="120"/>
      <c r="E4" s="120"/>
      <c r="F4" s="120"/>
    </row>
    <row r="5" spans="1:6" ht="12.75" customHeight="1" x14ac:dyDescent="0.3">
      <c r="A5" s="9" t="s">
        <v>3</v>
      </c>
      <c r="B5" s="9"/>
      <c r="C5" s="90" t="s">
        <v>5</v>
      </c>
      <c r="D5" s="90"/>
      <c r="E5" s="90"/>
      <c r="F5" s="90"/>
    </row>
    <row r="6" spans="1:6" ht="15.6" x14ac:dyDescent="0.3">
      <c r="A6" s="10" t="s">
        <v>6</v>
      </c>
      <c r="B6" s="10" t="s">
        <v>4</v>
      </c>
      <c r="C6" s="90"/>
      <c r="D6" s="90"/>
      <c r="E6" s="90"/>
      <c r="F6" s="90"/>
    </row>
    <row r="7" spans="1:6" ht="15.6" x14ac:dyDescent="0.3">
      <c r="A7" s="10"/>
      <c r="B7" s="10" t="s">
        <v>7</v>
      </c>
      <c r="C7" s="90" t="s">
        <v>8</v>
      </c>
      <c r="D7" s="90"/>
      <c r="E7" s="90"/>
      <c r="F7" s="90"/>
    </row>
    <row r="8" spans="1:6" ht="15.75" x14ac:dyDescent="0.25">
      <c r="A8" s="22"/>
      <c r="B8" s="7"/>
      <c r="C8" s="5" t="s">
        <v>9</v>
      </c>
      <c r="D8" s="5" t="s">
        <v>10</v>
      </c>
      <c r="E8" s="5" t="s">
        <v>11</v>
      </c>
      <c r="F8" s="5" t="s">
        <v>12</v>
      </c>
    </row>
    <row r="9" spans="1:6" s="13" customFormat="1" ht="15.75" x14ac:dyDescent="0.25">
      <c r="A9" s="11">
        <v>1</v>
      </c>
      <c r="B9" s="5">
        <v>2</v>
      </c>
      <c r="C9" s="5">
        <v>3</v>
      </c>
      <c r="D9" s="5">
        <v>4</v>
      </c>
      <c r="E9" s="5">
        <v>5</v>
      </c>
      <c r="F9" s="5">
        <v>6</v>
      </c>
    </row>
    <row r="10" spans="1:6" ht="26.4" customHeight="1" x14ac:dyDescent="0.3">
      <c r="A10" s="31">
        <v>1</v>
      </c>
      <c r="B10" s="8" t="s">
        <v>479</v>
      </c>
      <c r="C10" s="36"/>
      <c r="D10" s="36"/>
      <c r="E10" s="36"/>
      <c r="F10" s="36"/>
    </row>
    <row r="11" spans="1:6" ht="18" customHeight="1" x14ac:dyDescent="0.3">
      <c r="A11" s="32"/>
      <c r="B11" s="8" t="s">
        <v>14</v>
      </c>
      <c r="C11" s="37">
        <f>1.06*23180+4</f>
        <v>24574.800000000003</v>
      </c>
      <c r="D11" s="37">
        <f>1.06*22185+4</f>
        <v>23520.100000000002</v>
      </c>
      <c r="E11" s="37">
        <f>1.06*21175+4</f>
        <v>22449.5</v>
      </c>
      <c r="F11" s="37">
        <f>1.06*20175+4</f>
        <v>21389.5</v>
      </c>
    </row>
    <row r="12" spans="1:6" ht="18" customHeight="1" x14ac:dyDescent="0.3">
      <c r="A12" s="33"/>
      <c r="B12" s="8" t="s">
        <v>15</v>
      </c>
      <c r="C12" s="37">
        <f>1.06*22185+4</f>
        <v>23520.100000000002</v>
      </c>
      <c r="D12" s="37">
        <f>1.06*21175+4</f>
        <v>22449.5</v>
      </c>
      <c r="E12" s="37">
        <f>1.06*20175+4</f>
        <v>21389.5</v>
      </c>
      <c r="F12" s="37">
        <f>1.06*19815+1</f>
        <v>21004.9</v>
      </c>
    </row>
    <row r="13" spans="1:6" ht="45.6" customHeight="1" x14ac:dyDescent="0.3">
      <c r="A13" s="104">
        <v>2</v>
      </c>
      <c r="B13" s="8" t="s">
        <v>480</v>
      </c>
      <c r="C13" s="39"/>
      <c r="D13" s="39"/>
      <c r="E13" s="39"/>
      <c r="F13" s="39"/>
    </row>
    <row r="14" spans="1:6" ht="18" customHeight="1" x14ac:dyDescent="0.3">
      <c r="A14" s="121"/>
      <c r="B14" s="8" t="s">
        <v>14</v>
      </c>
      <c r="C14" s="37">
        <f>1.06*22040+3</f>
        <v>23365.4</v>
      </c>
      <c r="D14" s="37">
        <f>1.06*21045+2</f>
        <v>22309.7</v>
      </c>
      <c r="E14" s="37">
        <f>1.06*20050+2</f>
        <v>21255</v>
      </c>
      <c r="F14" s="37">
        <f>1.06*19040+3</f>
        <v>20185.400000000001</v>
      </c>
    </row>
    <row r="15" spans="1:6" ht="18" customHeight="1" x14ac:dyDescent="0.3">
      <c r="A15" s="107"/>
      <c r="B15" s="8" t="s">
        <v>15</v>
      </c>
      <c r="C15" s="37">
        <f>1.06*21045+2</f>
        <v>22309.7</v>
      </c>
      <c r="D15" s="37">
        <f>1.06*20050+2</f>
        <v>21255</v>
      </c>
      <c r="E15" s="37">
        <f>1.06*19040+3</f>
        <v>20185.400000000001</v>
      </c>
      <c r="F15" s="37">
        <f>1.06*18040+3</f>
        <v>19125.400000000001</v>
      </c>
    </row>
    <row r="16" spans="1:6" ht="45" customHeight="1" x14ac:dyDescent="0.3">
      <c r="A16" s="104">
        <v>3</v>
      </c>
      <c r="B16" s="8" t="s">
        <v>461</v>
      </c>
      <c r="C16" s="39"/>
      <c r="D16" s="39"/>
      <c r="E16" s="39"/>
      <c r="F16" s="39"/>
    </row>
    <row r="17" spans="1:6" ht="18" customHeight="1" x14ac:dyDescent="0.3">
      <c r="A17" s="121"/>
      <c r="B17" s="8" t="s">
        <v>14</v>
      </c>
      <c r="C17" s="37">
        <f>1.06*23150+1</f>
        <v>24540</v>
      </c>
      <c r="D17" s="37">
        <f>1.06*22050+2</f>
        <v>23375</v>
      </c>
      <c r="E17" s="37">
        <f>1.06*20940+4</f>
        <v>22200.400000000001</v>
      </c>
      <c r="F17" s="37">
        <f>1.06*19845+4</f>
        <v>21039.7</v>
      </c>
    </row>
    <row r="18" spans="1:6" ht="18" customHeight="1" x14ac:dyDescent="0.3">
      <c r="A18" s="107"/>
      <c r="B18" s="8" t="s">
        <v>15</v>
      </c>
      <c r="C18" s="37">
        <f>1.06*22050+2</f>
        <v>23375</v>
      </c>
      <c r="D18" s="37">
        <f>1.06*20940+4</f>
        <v>22200.400000000001</v>
      </c>
      <c r="E18" s="37">
        <f>1.06*19845+4</f>
        <v>21039.7</v>
      </c>
      <c r="F18" s="37">
        <f>1.06*19630+2</f>
        <v>20809.8</v>
      </c>
    </row>
    <row r="19" spans="1:6" ht="43.2" customHeight="1" x14ac:dyDescent="0.3">
      <c r="A19" s="36">
        <v>4</v>
      </c>
      <c r="B19" s="8" t="s">
        <v>17</v>
      </c>
      <c r="C19" s="37">
        <f>1.06*22040+3</f>
        <v>23365.4</v>
      </c>
      <c r="D19" s="37">
        <f>1.06*21045+2</f>
        <v>22309.7</v>
      </c>
      <c r="E19" s="37">
        <f>1.06*20050+2</f>
        <v>21255</v>
      </c>
      <c r="F19" s="37">
        <f>1.06*19040+3</f>
        <v>20185.400000000001</v>
      </c>
    </row>
    <row r="20" spans="1:6" ht="135.6" customHeight="1" x14ac:dyDescent="0.3">
      <c r="A20" s="114" t="s">
        <v>481</v>
      </c>
      <c r="B20" s="115"/>
      <c r="C20" s="115"/>
      <c r="D20" s="115"/>
      <c r="E20" s="115"/>
      <c r="F20" s="115"/>
    </row>
    <row r="21" spans="1:6" ht="15.6" x14ac:dyDescent="0.3">
      <c r="A21" s="29"/>
    </row>
  </sheetData>
  <mergeCells count="7">
    <mergeCell ref="A3:F3"/>
    <mergeCell ref="A4:F4"/>
    <mergeCell ref="A20:F20"/>
    <mergeCell ref="C5:F6"/>
    <mergeCell ref="C7:F7"/>
    <mergeCell ref="A13:A15"/>
    <mergeCell ref="A16:A18"/>
  </mergeCells>
  <pageMargins left="0.70866141732283472" right="0.70866141732283472" top="0.74803149606299213" bottom="0.74803149606299213" header="0.31496062992125984" footer="0.31496062992125984"/>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
  <sheetViews>
    <sheetView topLeftCell="A13" workbookViewId="0">
      <selection activeCell="C4" sqref="C4"/>
    </sheetView>
  </sheetViews>
  <sheetFormatPr defaultRowHeight="14.4" x14ac:dyDescent="0.3"/>
  <cols>
    <col min="1" max="1" width="4.88671875" customWidth="1"/>
    <col min="2" max="2" width="39.44140625" customWidth="1"/>
    <col min="3" max="6" width="10.6640625" customWidth="1"/>
  </cols>
  <sheetData>
    <row r="1" spans="1:7" ht="15" x14ac:dyDescent="0.25">
      <c r="B1">
        <v>6</v>
      </c>
    </row>
    <row r="2" spans="1:7" ht="15.6" x14ac:dyDescent="0.3">
      <c r="F2" s="18" t="s">
        <v>38</v>
      </c>
    </row>
    <row r="3" spans="1:7" ht="52.5" customHeight="1" x14ac:dyDescent="0.3">
      <c r="A3" s="101" t="s">
        <v>482</v>
      </c>
      <c r="B3" s="96"/>
      <c r="C3" s="96"/>
      <c r="D3" s="96"/>
      <c r="E3" s="96"/>
      <c r="F3" s="96"/>
    </row>
    <row r="4" spans="1:7" ht="15.75" x14ac:dyDescent="0.25">
      <c r="A4" s="19"/>
    </row>
    <row r="5" spans="1:7" ht="15.6" x14ac:dyDescent="0.3">
      <c r="A5" s="111" t="s">
        <v>22</v>
      </c>
      <c r="B5" s="9" t="s">
        <v>32</v>
      </c>
      <c r="C5" s="90" t="s">
        <v>5</v>
      </c>
      <c r="D5" s="90"/>
      <c r="E5" s="90"/>
      <c r="F5" s="90"/>
      <c r="G5" s="20"/>
    </row>
    <row r="6" spans="1:7" ht="15.6" x14ac:dyDescent="0.3">
      <c r="A6" s="112"/>
      <c r="B6" s="10" t="s">
        <v>24</v>
      </c>
      <c r="C6" s="90" t="s">
        <v>8</v>
      </c>
      <c r="D6" s="90"/>
      <c r="E6" s="90"/>
      <c r="F6" s="90"/>
      <c r="G6" s="20"/>
    </row>
    <row r="7" spans="1:7" ht="15.6" x14ac:dyDescent="0.3">
      <c r="A7" s="113"/>
      <c r="B7" s="22"/>
      <c r="C7" s="5" t="s">
        <v>9</v>
      </c>
      <c r="D7" s="5" t="s">
        <v>10</v>
      </c>
      <c r="E7" s="5" t="s">
        <v>11</v>
      </c>
      <c r="F7" s="5" t="s">
        <v>12</v>
      </c>
      <c r="G7" s="21"/>
    </row>
    <row r="8" spans="1:7" s="13" customFormat="1" ht="15.75" x14ac:dyDescent="0.25">
      <c r="A8" s="5">
        <v>1</v>
      </c>
      <c r="B8" s="5">
        <v>2</v>
      </c>
      <c r="C8" s="5">
        <v>3</v>
      </c>
      <c r="D8" s="5">
        <v>4</v>
      </c>
      <c r="E8" s="5">
        <v>5</v>
      </c>
      <c r="F8" s="5">
        <v>6</v>
      </c>
      <c r="G8" s="21"/>
    </row>
    <row r="9" spans="1:7" ht="49.5" customHeight="1" x14ac:dyDescent="0.3">
      <c r="A9" s="90">
        <v>1</v>
      </c>
      <c r="B9" s="8" t="s">
        <v>461</v>
      </c>
      <c r="C9" s="5"/>
      <c r="D9" s="5"/>
      <c r="E9" s="5"/>
      <c r="F9" s="5"/>
      <c r="G9" s="20"/>
    </row>
    <row r="10" spans="1:7" ht="18" customHeight="1" x14ac:dyDescent="0.3">
      <c r="A10" s="90"/>
      <c r="B10" s="8" t="s">
        <v>14</v>
      </c>
      <c r="C10" s="25">
        <f>1.06*24281+2</f>
        <v>25739.86</v>
      </c>
      <c r="D10" s="25">
        <f>1.06*23125+2</f>
        <v>24514.5</v>
      </c>
      <c r="E10" s="25">
        <f>1.06*21975+1</f>
        <v>23294.5</v>
      </c>
      <c r="F10" s="25">
        <f>1.06*20810+1</f>
        <v>22059.600000000002</v>
      </c>
      <c r="G10" s="20"/>
    </row>
    <row r="11" spans="1:7" ht="18" customHeight="1" x14ac:dyDescent="0.3">
      <c r="A11" s="90"/>
      <c r="B11" s="8" t="s">
        <v>15</v>
      </c>
      <c r="C11" s="25">
        <f>1.06*23125+2</f>
        <v>24514.5</v>
      </c>
      <c r="D11" s="25">
        <f>1.06*21975+1</f>
        <v>23294.5</v>
      </c>
      <c r="E11" s="25">
        <f>1.06*20810+1</f>
        <v>22059.600000000002</v>
      </c>
      <c r="F11" s="25">
        <f>1.06*20584+1</f>
        <v>21820.04</v>
      </c>
      <c r="G11" s="20"/>
    </row>
    <row r="12" spans="1:7" ht="35.25" customHeight="1" x14ac:dyDescent="0.3">
      <c r="A12" s="90">
        <v>2</v>
      </c>
      <c r="B12" s="8" t="s">
        <v>460</v>
      </c>
      <c r="C12" s="25"/>
      <c r="D12" s="25"/>
      <c r="E12" s="25"/>
      <c r="F12" s="25"/>
      <c r="G12" s="122"/>
    </row>
    <row r="13" spans="1:7" ht="18" customHeight="1" x14ac:dyDescent="0.3">
      <c r="A13" s="90"/>
      <c r="B13" s="8" t="s">
        <v>14</v>
      </c>
      <c r="C13" s="25">
        <f>1.06*23125+2</f>
        <v>24514.5</v>
      </c>
      <c r="D13" s="25">
        <f>1.06*21975+1</f>
        <v>23294.5</v>
      </c>
      <c r="E13" s="25">
        <f>1.06*20810+1</f>
        <v>22059.600000000002</v>
      </c>
      <c r="F13" s="25">
        <f>1.06*20584+1</f>
        <v>21820.04</v>
      </c>
      <c r="G13" s="122"/>
    </row>
    <row r="14" spans="1:7" ht="18" customHeight="1" x14ac:dyDescent="0.3">
      <c r="A14" s="90"/>
      <c r="B14" s="8" t="s">
        <v>15</v>
      </c>
      <c r="C14" s="25">
        <f>1.06*21975+1</f>
        <v>23294.5</v>
      </c>
      <c r="D14" s="25">
        <f>1.06*20810+1</f>
        <v>22059.600000000002</v>
      </c>
      <c r="E14" s="25">
        <f>1.06*20584+1</f>
        <v>21820.04</v>
      </c>
      <c r="F14" s="25">
        <f>1.06*19551+1</f>
        <v>20725.060000000001</v>
      </c>
      <c r="G14" s="122"/>
    </row>
  </sheetData>
  <mergeCells count="7">
    <mergeCell ref="A12:A14"/>
    <mergeCell ref="G12:G14"/>
    <mergeCell ref="A3:F3"/>
    <mergeCell ref="A5:A7"/>
    <mergeCell ref="C5:F5"/>
    <mergeCell ref="C6:F6"/>
    <mergeCell ref="A9:A11"/>
  </mergeCells>
  <pageMargins left="0.70866141732283472" right="0.70866141732283472" top="0.74803149606299213" bottom="0.74803149606299213" header="0.31496062992125984" footer="0.31496062992125984"/>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6"/>
  <sheetViews>
    <sheetView tabSelected="1" topLeftCell="A37" workbookViewId="0">
      <selection activeCell="C41" sqref="C41"/>
    </sheetView>
  </sheetViews>
  <sheetFormatPr defaultRowHeight="14.4" x14ac:dyDescent="0.3"/>
  <cols>
    <col min="1" max="1" width="5.88671875" customWidth="1"/>
    <col min="2" max="2" width="49.6640625" customWidth="1"/>
    <col min="3" max="10" width="8.109375" style="13" customWidth="1"/>
    <col min="11" max="11" width="8.88671875" style="13" customWidth="1"/>
  </cols>
  <sheetData>
    <row r="1" spans="1:11" ht="13.8" customHeight="1" x14ac:dyDescent="0.3">
      <c r="H1" s="17" t="s">
        <v>39</v>
      </c>
    </row>
    <row r="2" spans="1:11" ht="13.8" customHeight="1" x14ac:dyDescent="0.3">
      <c r="A2" s="40"/>
      <c r="H2" s="17" t="s">
        <v>457</v>
      </c>
    </row>
    <row r="3" spans="1:11" ht="13.8" customHeight="1" x14ac:dyDescent="0.3">
      <c r="A3" s="40"/>
      <c r="H3" s="17" t="s">
        <v>458</v>
      </c>
    </row>
    <row r="4" spans="1:11" ht="13.8" customHeight="1" x14ac:dyDescent="0.3">
      <c r="A4" s="40"/>
      <c r="H4" s="17" t="s">
        <v>509</v>
      </c>
    </row>
    <row r="5" spans="1:11" ht="13.8" customHeight="1" x14ac:dyDescent="0.3">
      <c r="A5" s="19"/>
      <c r="H5" s="17" t="s">
        <v>19</v>
      </c>
    </row>
    <row r="6" spans="1:11" x14ac:dyDescent="0.3">
      <c r="A6" s="126" t="s">
        <v>40</v>
      </c>
      <c r="B6" s="96"/>
      <c r="C6" s="96"/>
      <c r="D6" s="96"/>
      <c r="E6" s="96"/>
      <c r="F6" s="96"/>
      <c r="G6" s="96"/>
      <c r="H6" s="96"/>
      <c r="I6" s="96"/>
      <c r="J6" s="96"/>
      <c r="K6" s="96"/>
    </row>
    <row r="7" spans="1:11" x14ac:dyDescent="0.3">
      <c r="A7" s="126" t="s">
        <v>41</v>
      </c>
      <c r="B7" s="96"/>
      <c r="C7" s="96"/>
      <c r="D7" s="96"/>
      <c r="E7" s="96"/>
      <c r="F7" s="96"/>
      <c r="G7" s="96"/>
      <c r="H7" s="96"/>
      <c r="I7" s="96"/>
      <c r="J7" s="96"/>
      <c r="K7" s="96"/>
    </row>
    <row r="8" spans="1:11" x14ac:dyDescent="0.3">
      <c r="A8" s="126" t="s">
        <v>483</v>
      </c>
      <c r="B8" s="96"/>
      <c r="C8" s="96"/>
      <c r="D8" s="96"/>
      <c r="E8" s="96"/>
      <c r="F8" s="96"/>
      <c r="G8" s="96"/>
      <c r="H8" s="96"/>
      <c r="I8" s="96"/>
      <c r="J8" s="96"/>
      <c r="K8" s="96"/>
    </row>
    <row r="9" spans="1:11" ht="14.4" customHeight="1" x14ac:dyDescent="0.3">
      <c r="K9" s="18" t="s">
        <v>42</v>
      </c>
    </row>
    <row r="10" spans="1:11" ht="79.5" customHeight="1" x14ac:dyDescent="0.3">
      <c r="A10" s="111" t="s">
        <v>43</v>
      </c>
      <c r="B10" s="9" t="s">
        <v>105</v>
      </c>
      <c r="C10" s="125" t="s">
        <v>107</v>
      </c>
      <c r="D10" s="125"/>
      <c r="E10" s="125"/>
      <c r="F10" s="125"/>
      <c r="G10" s="125"/>
      <c r="H10" s="125"/>
      <c r="I10" s="125" t="s">
        <v>106</v>
      </c>
      <c r="J10" s="125"/>
      <c r="K10" s="125"/>
    </row>
    <row r="11" spans="1:11" ht="15.6" customHeight="1" x14ac:dyDescent="0.3">
      <c r="A11" s="112"/>
      <c r="B11" s="41"/>
      <c r="C11" s="43" t="s">
        <v>44</v>
      </c>
      <c r="D11" s="43" t="s">
        <v>47</v>
      </c>
      <c r="E11" s="43" t="s">
        <v>49</v>
      </c>
      <c r="F11" s="44" t="s">
        <v>51</v>
      </c>
      <c r="G11" s="43" t="s">
        <v>53</v>
      </c>
      <c r="H11" s="44" t="s">
        <v>111</v>
      </c>
      <c r="I11" s="43" t="s">
        <v>56</v>
      </c>
      <c r="J11" s="44" t="s">
        <v>59</v>
      </c>
      <c r="K11" s="43" t="s">
        <v>110</v>
      </c>
    </row>
    <row r="12" spans="1:11" ht="27" customHeight="1" x14ac:dyDescent="0.3">
      <c r="A12" s="112"/>
      <c r="B12" s="41"/>
      <c r="C12" s="45" t="s">
        <v>45</v>
      </c>
      <c r="D12" s="45" t="s">
        <v>48</v>
      </c>
      <c r="E12" s="45" t="s">
        <v>50</v>
      </c>
      <c r="F12" s="44" t="s">
        <v>52</v>
      </c>
      <c r="G12" s="45" t="s">
        <v>54</v>
      </c>
      <c r="H12" s="44">
        <v>20</v>
      </c>
      <c r="I12" s="46" t="s">
        <v>57</v>
      </c>
      <c r="J12" s="46" t="s">
        <v>57</v>
      </c>
      <c r="K12" s="46" t="s">
        <v>57</v>
      </c>
    </row>
    <row r="13" spans="1:11" ht="17.25" customHeight="1" x14ac:dyDescent="0.3">
      <c r="A13" s="112"/>
      <c r="B13" s="41"/>
      <c r="C13" s="45" t="s">
        <v>46</v>
      </c>
      <c r="D13" s="45" t="s">
        <v>46</v>
      </c>
      <c r="E13" s="45" t="s">
        <v>46</v>
      </c>
      <c r="F13" s="44" t="s">
        <v>46</v>
      </c>
      <c r="G13" s="45" t="s">
        <v>55</v>
      </c>
      <c r="H13" s="44" t="s">
        <v>46</v>
      </c>
      <c r="I13" s="46" t="s">
        <v>109</v>
      </c>
      <c r="J13" s="46" t="s">
        <v>109</v>
      </c>
      <c r="K13" s="46" t="s">
        <v>109</v>
      </c>
    </row>
    <row r="14" spans="1:11" ht="28.5" customHeight="1" x14ac:dyDescent="0.3">
      <c r="A14" s="112"/>
      <c r="B14" s="41"/>
      <c r="C14" s="48"/>
      <c r="D14" s="48"/>
      <c r="E14" s="48"/>
      <c r="F14" s="49"/>
      <c r="G14" s="48"/>
      <c r="H14" s="49"/>
      <c r="I14" s="46" t="s">
        <v>58</v>
      </c>
      <c r="J14" s="47" t="s">
        <v>58</v>
      </c>
      <c r="K14" s="46" t="s">
        <v>58</v>
      </c>
    </row>
    <row r="15" spans="1:11" s="13" customFormat="1" ht="15.6" x14ac:dyDescent="0.3">
      <c r="A15" s="5">
        <v>1</v>
      </c>
      <c r="B15" s="5">
        <v>2</v>
      </c>
      <c r="C15" s="5">
        <v>3</v>
      </c>
      <c r="D15" s="5">
        <v>4</v>
      </c>
      <c r="E15" s="5">
        <v>5</v>
      </c>
      <c r="F15" s="5">
        <v>6</v>
      </c>
      <c r="G15" s="5">
        <v>7</v>
      </c>
      <c r="H15" s="5">
        <v>8</v>
      </c>
      <c r="I15" s="5">
        <v>9</v>
      </c>
      <c r="J15" s="5">
        <v>10</v>
      </c>
      <c r="K15" s="5">
        <v>11</v>
      </c>
    </row>
    <row r="16" spans="1:11" ht="30.6" customHeight="1" x14ac:dyDescent="0.3">
      <c r="A16" s="123" t="s">
        <v>108</v>
      </c>
      <c r="B16" s="123"/>
      <c r="C16" s="123"/>
      <c r="D16" s="123"/>
      <c r="E16" s="123"/>
      <c r="F16" s="123"/>
      <c r="G16" s="123"/>
      <c r="H16" s="123"/>
      <c r="I16" s="123"/>
      <c r="J16" s="123"/>
      <c r="K16" s="123"/>
    </row>
    <row r="17" spans="1:11" s="50" customFormat="1" ht="32.4" customHeight="1" x14ac:dyDescent="0.3">
      <c r="A17" s="54" t="s">
        <v>60</v>
      </c>
      <c r="B17" s="123" t="s">
        <v>484</v>
      </c>
      <c r="C17" s="123"/>
      <c r="D17" s="123"/>
      <c r="E17" s="123"/>
      <c r="F17" s="123"/>
      <c r="G17" s="123"/>
      <c r="H17" s="123"/>
      <c r="I17" s="123"/>
      <c r="J17" s="123"/>
      <c r="K17" s="123"/>
    </row>
    <row r="18" spans="1:11" ht="77.400000000000006" customHeight="1" x14ac:dyDescent="0.3">
      <c r="A18" s="85" t="s">
        <v>61</v>
      </c>
      <c r="B18" s="84" t="s">
        <v>113</v>
      </c>
      <c r="C18" s="24">
        <f>100*1.06+1.06*16696+1</f>
        <v>17804.760000000002</v>
      </c>
      <c r="D18" s="24">
        <f>100*1.06+1.06*18353</f>
        <v>19560.18</v>
      </c>
      <c r="E18" s="24">
        <f>100*1.06+1.06*20133+3</f>
        <v>21449.98</v>
      </c>
      <c r="F18" s="24">
        <f>100*1.06+1.06*22098</f>
        <v>23529.88</v>
      </c>
      <c r="G18" s="24">
        <f>100*1.06+1.06*22802+4</f>
        <v>24280.120000000003</v>
      </c>
      <c r="H18" s="24">
        <f>100*1.06+1.06*23651+4</f>
        <v>25180.06</v>
      </c>
      <c r="I18" s="24">
        <f>100*1.06+1.06*23651+4</f>
        <v>25180.06</v>
      </c>
      <c r="J18" s="24">
        <f>100*1.06+1.06*25627+4</f>
        <v>27274.620000000003</v>
      </c>
      <c r="K18" s="24">
        <f>100*1.06+1.06*27614+3</f>
        <v>29379.84</v>
      </c>
    </row>
    <row r="19" spans="1:11" ht="31.2" customHeight="1" x14ac:dyDescent="0.3">
      <c r="A19" s="85" t="s">
        <v>62</v>
      </c>
      <c r="B19" s="85" t="s">
        <v>63</v>
      </c>
      <c r="C19" s="24">
        <f>100*1.06+1.06*18353</f>
        <v>19560.18</v>
      </c>
      <c r="D19" s="24">
        <f>100*1.06+1.06*20133+3</f>
        <v>21449.98</v>
      </c>
      <c r="E19" s="24">
        <f>100*1.06+1.06*22098</f>
        <v>23529.88</v>
      </c>
      <c r="F19" s="24">
        <f t="shared" ref="F19:I19" si="0">100*1.06+1.06*23651+4</f>
        <v>25180.06</v>
      </c>
      <c r="G19" s="24">
        <f t="shared" si="0"/>
        <v>25180.06</v>
      </c>
      <c r="H19" s="24">
        <f t="shared" si="0"/>
        <v>25180.06</v>
      </c>
      <c r="I19" s="24">
        <f t="shared" si="0"/>
        <v>25180.06</v>
      </c>
      <c r="J19" s="24">
        <f>100*1.06+1.06*25627+4</f>
        <v>27274.620000000003</v>
      </c>
      <c r="K19" s="24">
        <f>100*1.06+1.06*27614+3</f>
        <v>29379.84</v>
      </c>
    </row>
    <row r="20" spans="1:11" s="50" customFormat="1" ht="31.5" customHeight="1" x14ac:dyDescent="0.3">
      <c r="A20" s="86" t="s">
        <v>64</v>
      </c>
      <c r="B20" s="124" t="s">
        <v>485</v>
      </c>
      <c r="C20" s="124"/>
      <c r="D20" s="124"/>
      <c r="E20" s="124"/>
      <c r="F20" s="124"/>
      <c r="G20" s="124"/>
      <c r="H20" s="124"/>
      <c r="I20" s="124"/>
      <c r="J20" s="124"/>
      <c r="K20" s="124"/>
    </row>
    <row r="21" spans="1:11" ht="33" customHeight="1" x14ac:dyDescent="0.3">
      <c r="A21" s="85" t="s">
        <v>65</v>
      </c>
      <c r="B21" s="84" t="s">
        <v>112</v>
      </c>
      <c r="C21" s="24">
        <f>100*1.06+1.06*13915+4</f>
        <v>14859.900000000001</v>
      </c>
      <c r="D21" s="24">
        <f>100*1.06+1.06*15515+3</f>
        <v>16554.900000000001</v>
      </c>
      <c r="E21" s="24">
        <f>100*1.06+1.06*16880+1</f>
        <v>17999.8</v>
      </c>
      <c r="F21" s="24">
        <f>100*1.06+1.06*17330+4</f>
        <v>18479.8</v>
      </c>
      <c r="G21" s="24">
        <f>100*1.06+1.06*17790+2</f>
        <v>18965.400000000001</v>
      </c>
      <c r="H21" s="24">
        <f>100*1.06+1.06*18475</f>
        <v>19689.5</v>
      </c>
      <c r="I21" s="24">
        <f>100*1.06+1.06*18475</f>
        <v>19689.5</v>
      </c>
      <c r="J21" s="24">
        <f>100*1.06+1.06*20305+1</f>
        <v>21630.3</v>
      </c>
      <c r="K21" s="24">
        <f>100*1.06+1.06*21665+4</f>
        <v>23074.9</v>
      </c>
    </row>
    <row r="22" spans="1:11" ht="18" customHeight="1" x14ac:dyDescent="0.3">
      <c r="A22" s="85" t="s">
        <v>66</v>
      </c>
      <c r="B22" s="84" t="s">
        <v>114</v>
      </c>
      <c r="C22" s="24">
        <f>100*1.06+1.06*12835+4</f>
        <v>13715.1</v>
      </c>
      <c r="D22" s="24">
        <f>100*1.06+1.06*17035+2</f>
        <v>18165.100000000002</v>
      </c>
      <c r="E22" s="24">
        <f>100*1.06+1.06*18725</f>
        <v>19954.5</v>
      </c>
      <c r="F22" s="24">
        <f>100*1.06+1.06*19975</f>
        <v>21279.5</v>
      </c>
      <c r="G22" s="24">
        <f>100*1.06+1.06*19975</f>
        <v>21279.5</v>
      </c>
      <c r="H22" s="24">
        <f>100*1.06+1.06*19975</f>
        <v>21279.5</v>
      </c>
      <c r="I22" s="24">
        <f t="shared" ref="I22:I25" si="1">100*1.06+1.06*17035+2</f>
        <v>18165.100000000002</v>
      </c>
      <c r="J22" s="24">
        <f>100*1.06+1.06*18725</f>
        <v>19954.5</v>
      </c>
      <c r="K22" s="24">
        <f>100*1.06+1.06*19975</f>
        <v>21279.5</v>
      </c>
    </row>
    <row r="23" spans="1:11" ht="80.25" customHeight="1" x14ac:dyDescent="0.3">
      <c r="A23" s="85" t="s">
        <v>67</v>
      </c>
      <c r="B23" s="84" t="s">
        <v>117</v>
      </c>
      <c r="C23" s="24">
        <f>100*1.06+1.06*12835+4</f>
        <v>13715.1</v>
      </c>
      <c r="D23" s="24">
        <f>100*1.06+1.06*14310</f>
        <v>15274.6</v>
      </c>
      <c r="E23" s="24">
        <f>100*1.06+1.06*15560</f>
        <v>16599.600000000002</v>
      </c>
      <c r="F23" s="24">
        <f>100*1.06+1.06*15980</f>
        <v>17044.8</v>
      </c>
      <c r="G23" s="24">
        <f>100*1.06+1.06*16405+5</f>
        <v>17500.3</v>
      </c>
      <c r="H23" s="24">
        <f>100*1.06+1.06*17035+2</f>
        <v>18165.100000000002</v>
      </c>
      <c r="I23" s="24">
        <f t="shared" si="1"/>
        <v>18165.100000000002</v>
      </c>
      <c r="J23" s="24">
        <f>100*1.06+1.06*18725</f>
        <v>19954.5</v>
      </c>
      <c r="K23" s="24">
        <f>100*1.06+1.06*19975</f>
        <v>21279.5</v>
      </c>
    </row>
    <row r="24" spans="1:11" ht="32.25" customHeight="1" x14ac:dyDescent="0.3">
      <c r="A24" s="85" t="s">
        <v>68</v>
      </c>
      <c r="B24" s="84" t="s">
        <v>118</v>
      </c>
      <c r="C24" s="24">
        <f>100*1.06+1.06*14310</f>
        <v>15274.6</v>
      </c>
      <c r="D24" s="24">
        <f>100*1.06+1.06*15560</f>
        <v>16599.600000000002</v>
      </c>
      <c r="E24" s="24">
        <f>100*1.06+1.06*15980</f>
        <v>17044.8</v>
      </c>
      <c r="F24" s="24">
        <f>100*1.06+1.06*16405+5</f>
        <v>17500.3</v>
      </c>
      <c r="G24" s="24">
        <f t="shared" ref="G24:H24" si="2">100*1.06+1.06*16405+5</f>
        <v>17500.3</v>
      </c>
      <c r="H24" s="24">
        <f t="shared" si="2"/>
        <v>17500.3</v>
      </c>
      <c r="I24" s="24">
        <f t="shared" si="1"/>
        <v>18165.100000000002</v>
      </c>
      <c r="J24" s="24">
        <f>100*1.06+1.06*18725</f>
        <v>19954.5</v>
      </c>
      <c r="K24" s="24">
        <f>100*1.06+1.06*19975</f>
        <v>21279.5</v>
      </c>
    </row>
    <row r="25" spans="1:11" ht="31.2" x14ac:dyDescent="0.3">
      <c r="A25" s="85" t="s">
        <v>69</v>
      </c>
      <c r="B25" s="85" t="s">
        <v>115</v>
      </c>
      <c r="C25" s="24">
        <f>100*1.06+1.06*14310</f>
        <v>15274.6</v>
      </c>
      <c r="D25" s="24">
        <f>100*1.06+1.06*15560</f>
        <v>16599.600000000002</v>
      </c>
      <c r="E25" s="24">
        <f>100*1.06+1.06*15980</f>
        <v>17044.8</v>
      </c>
      <c r="F25" s="24">
        <f t="shared" ref="F25:H25" si="3">100*1.06+1.06*17035+2</f>
        <v>18165.100000000002</v>
      </c>
      <c r="G25" s="24">
        <f t="shared" si="3"/>
        <v>18165.100000000002</v>
      </c>
      <c r="H25" s="24">
        <f t="shared" si="3"/>
        <v>18165.100000000002</v>
      </c>
      <c r="I25" s="24">
        <f t="shared" si="1"/>
        <v>18165.100000000002</v>
      </c>
      <c r="J25" s="24">
        <f>100*1.06+1.06*18725</f>
        <v>19954.5</v>
      </c>
      <c r="K25" s="24">
        <f>100*1.06+1.06*19975</f>
        <v>21279.5</v>
      </c>
    </row>
    <row r="26" spans="1:11" s="50" customFormat="1" ht="15.6" x14ac:dyDescent="0.3">
      <c r="A26" s="86" t="s">
        <v>70</v>
      </c>
      <c r="B26" s="124" t="s">
        <v>486</v>
      </c>
      <c r="C26" s="124"/>
      <c r="D26" s="124"/>
      <c r="E26" s="124"/>
      <c r="F26" s="124"/>
      <c r="G26" s="124"/>
      <c r="H26" s="124"/>
      <c r="I26" s="124"/>
      <c r="J26" s="124"/>
      <c r="K26" s="124"/>
    </row>
    <row r="27" spans="1:11" ht="33.75" customHeight="1" x14ac:dyDescent="0.3">
      <c r="A27" s="85" t="s">
        <v>71</v>
      </c>
      <c r="B27" s="84" t="s">
        <v>116</v>
      </c>
      <c r="C27" s="24">
        <f>100*1.06+1.06*13915+4</f>
        <v>14859.900000000001</v>
      </c>
      <c r="D27" s="24">
        <f>100*1.06+1.06*15515+3</f>
        <v>16554.900000000001</v>
      </c>
      <c r="E27" s="24">
        <f>100*1.06+1.06*16880+1</f>
        <v>17999.8</v>
      </c>
      <c r="F27" s="24">
        <f>100*1.06+1.06*17330+4</f>
        <v>18479.8</v>
      </c>
      <c r="G27" s="24">
        <f>100*1.06+1.06*17790+2</f>
        <v>18965.400000000001</v>
      </c>
      <c r="H27" s="24">
        <f>100*1.06+1.06*18475</f>
        <v>19689.5</v>
      </c>
      <c r="I27" s="24">
        <f>100*1.06+1.06*18475</f>
        <v>19689.5</v>
      </c>
      <c r="J27" s="24">
        <f>100*1.06+1.06*20305+1</f>
        <v>21630.3</v>
      </c>
      <c r="K27" s="24">
        <f>100*1.06+1.06*21665+4</f>
        <v>23074.9</v>
      </c>
    </row>
    <row r="28" spans="1:11" ht="97.5" customHeight="1" x14ac:dyDescent="0.3">
      <c r="A28" s="85" t="s">
        <v>72</v>
      </c>
      <c r="B28" s="84" t="s">
        <v>119</v>
      </c>
      <c r="C28" s="24">
        <f>100*1.06+1.06*12835+4</f>
        <v>13715.1</v>
      </c>
      <c r="D28" s="24">
        <f>100*1.06+1.06*17035+2</f>
        <v>18165.100000000002</v>
      </c>
      <c r="E28" s="24">
        <f>100*1.06+1.06*18725</f>
        <v>19954.5</v>
      </c>
      <c r="F28" s="24">
        <f>100*1.06+1.06*19975</f>
        <v>21279.5</v>
      </c>
      <c r="G28" s="24">
        <f>100*1.06+1.06*19975</f>
        <v>21279.5</v>
      </c>
      <c r="H28" s="24">
        <f>100*1.06+1.06*19975</f>
        <v>21279.5</v>
      </c>
      <c r="I28" s="24">
        <f t="shared" ref="I28:I31" si="4">100*1.06+1.06*17035+2</f>
        <v>18165.100000000002</v>
      </c>
      <c r="J28" s="24">
        <f>100*1.06+1.06*18725</f>
        <v>19954.5</v>
      </c>
      <c r="K28" s="24">
        <f>100*1.06+1.06*19975</f>
        <v>21279.5</v>
      </c>
    </row>
    <row r="29" spans="1:11" ht="30.75" customHeight="1" x14ac:dyDescent="0.3">
      <c r="A29" s="85" t="s">
        <v>73</v>
      </c>
      <c r="B29" s="84" t="s">
        <v>120</v>
      </c>
      <c r="C29" s="24">
        <f>100*1.06+1.06*12835+4</f>
        <v>13715.1</v>
      </c>
      <c r="D29" s="24">
        <f>100*1.06+1.06*14310</f>
        <v>15274.6</v>
      </c>
      <c r="E29" s="24">
        <f>100*1.06+1.06*15560</f>
        <v>16599.600000000002</v>
      </c>
      <c r="F29" s="24">
        <f>100*1.06+1.06*15980</f>
        <v>17044.8</v>
      </c>
      <c r="G29" s="24">
        <f>100*1.06+1.06*16405+5</f>
        <v>17500.3</v>
      </c>
      <c r="H29" s="24">
        <f>100*1.06+1.06*17035+2</f>
        <v>18165.100000000002</v>
      </c>
      <c r="I29" s="24">
        <f t="shared" si="4"/>
        <v>18165.100000000002</v>
      </c>
      <c r="J29" s="24">
        <f>100*1.06+1.06*18725</f>
        <v>19954.5</v>
      </c>
      <c r="K29" s="24">
        <f>100*1.06+1.06*19975</f>
        <v>21279.5</v>
      </c>
    </row>
    <row r="30" spans="1:11" ht="30.75" customHeight="1" x14ac:dyDescent="0.3">
      <c r="A30" s="85" t="s">
        <v>74</v>
      </c>
      <c r="B30" s="85" t="s">
        <v>121</v>
      </c>
      <c r="C30" s="24">
        <f>100*1.06+1.06*14310</f>
        <v>15274.6</v>
      </c>
      <c r="D30" s="24">
        <f>100*1.06+1.06*15560</f>
        <v>16599.600000000002</v>
      </c>
      <c r="E30" s="24">
        <f>100*1.06+1.06*15980</f>
        <v>17044.8</v>
      </c>
      <c r="F30" s="24">
        <f>100*1.06+1.06*16405+5</f>
        <v>17500.3</v>
      </c>
      <c r="G30" s="24">
        <f t="shared" ref="G30:H30" si="5">100*1.06+1.06*16405+5</f>
        <v>17500.3</v>
      </c>
      <c r="H30" s="24">
        <f t="shared" si="5"/>
        <v>17500.3</v>
      </c>
      <c r="I30" s="24">
        <f t="shared" si="4"/>
        <v>18165.100000000002</v>
      </c>
      <c r="J30" s="24">
        <f>100*1.06+1.06*18725</f>
        <v>19954.5</v>
      </c>
      <c r="K30" s="24">
        <f>100*1.06+1.06*19975</f>
        <v>21279.5</v>
      </c>
    </row>
    <row r="31" spans="1:11" ht="30.75" customHeight="1" x14ac:dyDescent="0.3">
      <c r="A31" s="85" t="s">
        <v>75</v>
      </c>
      <c r="B31" s="85" t="s">
        <v>122</v>
      </c>
      <c r="C31" s="24">
        <f>100*1.06+1.06*14310</f>
        <v>15274.6</v>
      </c>
      <c r="D31" s="24">
        <f>100*1.06+1.06*15560</f>
        <v>16599.600000000002</v>
      </c>
      <c r="E31" s="24">
        <f>100*1.06+1.06*15980</f>
        <v>17044.8</v>
      </c>
      <c r="F31" s="24">
        <f t="shared" ref="F31:H31" si="6">100*1.06+1.06*17035+2</f>
        <v>18165.100000000002</v>
      </c>
      <c r="G31" s="24">
        <f t="shared" si="6"/>
        <v>18165.100000000002</v>
      </c>
      <c r="H31" s="24">
        <f t="shared" si="6"/>
        <v>18165.100000000002</v>
      </c>
      <c r="I31" s="24">
        <f t="shared" si="4"/>
        <v>18165.100000000002</v>
      </c>
      <c r="J31" s="24">
        <f>100*1.06+1.06*18725</f>
        <v>19954.5</v>
      </c>
      <c r="K31" s="24">
        <f>100*1.06+1.06*19975</f>
        <v>21279.5</v>
      </c>
    </row>
    <row r="32" spans="1:11" s="50" customFormat="1" ht="32.25" customHeight="1" x14ac:dyDescent="0.3">
      <c r="A32" s="86" t="s">
        <v>76</v>
      </c>
      <c r="B32" s="124" t="s">
        <v>487</v>
      </c>
      <c r="C32" s="124"/>
      <c r="D32" s="124"/>
      <c r="E32" s="124"/>
      <c r="F32" s="124"/>
      <c r="G32" s="124"/>
      <c r="H32" s="124"/>
      <c r="I32" s="124"/>
      <c r="J32" s="124"/>
      <c r="K32" s="124"/>
    </row>
    <row r="33" spans="1:12" ht="18.75" customHeight="1" x14ac:dyDescent="0.3">
      <c r="A33" s="85" t="s">
        <v>77</v>
      </c>
      <c r="B33" s="85" t="s">
        <v>78</v>
      </c>
      <c r="C33" s="24">
        <f>100*1.06+1.06*15980</f>
        <v>17044.8</v>
      </c>
      <c r="D33" s="24">
        <f>100*1.06+1.06*17810</f>
        <v>18984.600000000002</v>
      </c>
      <c r="E33" s="24">
        <f>100*1.06+1.06*19390+1</f>
        <v>20660.400000000001</v>
      </c>
      <c r="F33" s="24">
        <f>100*1.06+1.06*19910+4</f>
        <v>21214.600000000002</v>
      </c>
      <c r="G33" s="24">
        <f>100*1.06+1.06*20435+3</f>
        <v>21770.100000000002</v>
      </c>
      <c r="H33" s="24">
        <f>100*1.06+1.06*21225</f>
        <v>22604.5</v>
      </c>
      <c r="I33" s="24">
        <f>100*1.06+1.06*21225</f>
        <v>22604.5</v>
      </c>
      <c r="J33" s="24">
        <f>100*1.06+1.06*23300+1</f>
        <v>24805</v>
      </c>
      <c r="K33" s="24">
        <f>100*1.06+1.06*24875+1</f>
        <v>26474.5</v>
      </c>
    </row>
    <row r="34" spans="1:12" s="50" customFormat="1" ht="32.4" customHeight="1" x14ac:dyDescent="0.3">
      <c r="A34" s="86" t="s">
        <v>79</v>
      </c>
      <c r="B34" s="124" t="s">
        <v>543</v>
      </c>
      <c r="C34" s="124"/>
      <c r="D34" s="124"/>
      <c r="E34" s="124"/>
      <c r="F34" s="124"/>
      <c r="G34" s="124"/>
      <c r="H34" s="124"/>
      <c r="I34" s="124"/>
      <c r="J34" s="124"/>
      <c r="K34" s="124"/>
    </row>
    <row r="35" spans="1:12" ht="60" customHeight="1" x14ac:dyDescent="0.3">
      <c r="A35" s="85" t="s">
        <v>80</v>
      </c>
      <c r="B35" s="84" t="s">
        <v>125</v>
      </c>
      <c r="C35" s="25">
        <f>100*1.2+1.2*11300</f>
        <v>13680</v>
      </c>
      <c r="D35" s="25">
        <f>100*1.2+1.2*12585+3</f>
        <v>15225</v>
      </c>
      <c r="E35" s="25">
        <f>100*1.2+1.2*13705+4</f>
        <v>16570</v>
      </c>
      <c r="F35" s="25">
        <f>100*1.2+1.2*14075</f>
        <v>17010</v>
      </c>
      <c r="G35" s="25">
        <f>100*1.2+1.2*14440+2</f>
        <v>17450</v>
      </c>
      <c r="H35" s="25">
        <f>100*1.2+1.2*14995+1</f>
        <v>18115</v>
      </c>
      <c r="I35" s="25">
        <f>100*1.2+1.2*14995+1</f>
        <v>18115</v>
      </c>
      <c r="J35" s="25">
        <f>100*1.2+1.2*16480+4</f>
        <v>19900</v>
      </c>
      <c r="K35" s="25">
        <f>100*1.2+1.2*17585+3</f>
        <v>21225</v>
      </c>
      <c r="L35" s="51"/>
    </row>
    <row r="36" spans="1:12" ht="46.5" customHeight="1" x14ac:dyDescent="0.3">
      <c r="A36" s="85" t="s">
        <v>81</v>
      </c>
      <c r="B36" s="84" t="s">
        <v>123</v>
      </c>
      <c r="C36" s="25">
        <f t="shared" ref="C36:C37" si="7">100*1.2+1.2*12585+3</f>
        <v>15225</v>
      </c>
      <c r="D36" s="25">
        <f t="shared" ref="D36:D37" si="8">100*1.2+1.2*13705+4</f>
        <v>16570</v>
      </c>
      <c r="E36" s="25">
        <f t="shared" ref="E36:E37" si="9">100*1.2+1.2*14075</f>
        <v>17010</v>
      </c>
      <c r="F36" s="25">
        <f t="shared" ref="F36:H36" si="10">100*1.2+1.2*14440+2</f>
        <v>17450</v>
      </c>
      <c r="G36" s="25">
        <f t="shared" si="10"/>
        <v>17450</v>
      </c>
      <c r="H36" s="25">
        <f t="shared" si="10"/>
        <v>17450</v>
      </c>
      <c r="I36" s="25">
        <f t="shared" ref="I36:I38" si="11">100*1.2+1.2*14995+1</f>
        <v>18115</v>
      </c>
      <c r="J36" s="25">
        <f t="shared" ref="J36:J38" si="12">100*1.2+1.2*16480+4</f>
        <v>19900</v>
      </c>
      <c r="K36" s="25">
        <f t="shared" ref="K36:K38" si="13">100*1.2+1.2*17585+3</f>
        <v>21225</v>
      </c>
      <c r="L36" s="51"/>
    </row>
    <row r="37" spans="1:12" ht="46.5" customHeight="1" x14ac:dyDescent="0.3">
      <c r="A37" s="85" t="s">
        <v>82</v>
      </c>
      <c r="B37" s="84" t="s">
        <v>124</v>
      </c>
      <c r="C37" s="25">
        <f t="shared" si="7"/>
        <v>15225</v>
      </c>
      <c r="D37" s="25">
        <f t="shared" si="8"/>
        <v>16570</v>
      </c>
      <c r="E37" s="25">
        <f t="shared" si="9"/>
        <v>17010</v>
      </c>
      <c r="F37" s="25">
        <f t="shared" ref="F37:H38" si="14">100*1.2+1.2*14995+1</f>
        <v>18115</v>
      </c>
      <c r="G37" s="25">
        <f t="shared" si="14"/>
        <v>18115</v>
      </c>
      <c r="H37" s="25">
        <f t="shared" si="14"/>
        <v>18115</v>
      </c>
      <c r="I37" s="25">
        <f t="shared" si="11"/>
        <v>18115</v>
      </c>
      <c r="J37" s="25">
        <f t="shared" si="12"/>
        <v>19900</v>
      </c>
      <c r="K37" s="25">
        <f t="shared" si="13"/>
        <v>21225</v>
      </c>
      <c r="L37" s="51"/>
    </row>
    <row r="38" spans="1:12" ht="34.799999999999997" customHeight="1" x14ac:dyDescent="0.3">
      <c r="A38" s="85" t="s">
        <v>83</v>
      </c>
      <c r="B38" s="84" t="s">
        <v>126</v>
      </c>
      <c r="C38" s="25">
        <f>100*1.2+1.2*11300</f>
        <v>13680</v>
      </c>
      <c r="D38" s="25">
        <f>100*1.2+1.2*12585+3</f>
        <v>15225</v>
      </c>
      <c r="E38" s="25">
        <f>100*1.2+1.2*14440+2</f>
        <v>17450</v>
      </c>
      <c r="F38" s="25">
        <f t="shared" si="14"/>
        <v>18115</v>
      </c>
      <c r="G38" s="25">
        <f t="shared" si="14"/>
        <v>18115</v>
      </c>
      <c r="H38" s="25">
        <f t="shared" si="14"/>
        <v>18115</v>
      </c>
      <c r="I38" s="25">
        <f t="shared" si="11"/>
        <v>18115</v>
      </c>
      <c r="J38" s="25">
        <f t="shared" si="12"/>
        <v>19900</v>
      </c>
      <c r="K38" s="25">
        <f t="shared" si="13"/>
        <v>21225</v>
      </c>
      <c r="L38" s="51"/>
    </row>
    <row r="39" spans="1:12" s="50" customFormat="1" ht="21.75" customHeight="1" x14ac:dyDescent="0.3">
      <c r="A39" s="89" t="s">
        <v>84</v>
      </c>
      <c r="B39" s="124" t="s">
        <v>544</v>
      </c>
      <c r="C39" s="124"/>
      <c r="D39" s="124"/>
      <c r="E39" s="124"/>
      <c r="F39" s="124"/>
      <c r="G39" s="124"/>
      <c r="H39" s="124"/>
      <c r="I39" s="124"/>
      <c r="J39" s="124"/>
      <c r="K39" s="124"/>
    </row>
    <row r="40" spans="1:12" ht="111.75" customHeight="1" x14ac:dyDescent="0.3">
      <c r="A40" s="85" t="s">
        <v>85</v>
      </c>
      <c r="B40" s="84" t="s">
        <v>125</v>
      </c>
      <c r="C40" s="25">
        <f>100*1.2+1.2*11300</f>
        <v>13680</v>
      </c>
      <c r="D40" s="25">
        <f>100*1.2+1.2*12585+3</f>
        <v>15225</v>
      </c>
      <c r="E40" s="25">
        <f>100*1.2+1.2*13705+4</f>
        <v>16570</v>
      </c>
      <c r="F40" s="25">
        <f>100*1.2+1.2*14075</f>
        <v>17010</v>
      </c>
      <c r="G40" s="25">
        <f>100*1.2+1.2*14440+2</f>
        <v>17450</v>
      </c>
      <c r="H40" s="25">
        <f>100*1.2+1.2*14995+1</f>
        <v>18115</v>
      </c>
      <c r="I40" s="25">
        <f>100*1.2+1.2*14995+1</f>
        <v>18115</v>
      </c>
      <c r="J40" s="25">
        <f>100*1.2+1.2*16480+4</f>
        <v>19900</v>
      </c>
      <c r="K40" s="25">
        <f>100*1.2+1.2*17585+3</f>
        <v>21225</v>
      </c>
      <c r="L40" s="51"/>
    </row>
    <row r="41" spans="1:12" s="52" customFormat="1" ht="48.75" customHeight="1" x14ac:dyDescent="0.3">
      <c r="A41" s="84" t="s">
        <v>86</v>
      </c>
      <c r="B41" s="84" t="s">
        <v>123</v>
      </c>
      <c r="C41" s="25">
        <f t="shared" ref="C41:C42" si="15">100*1.2+1.2*12585+3</f>
        <v>15225</v>
      </c>
      <c r="D41" s="25">
        <f t="shared" ref="D41:D42" si="16">100*1.2+1.2*13705+4</f>
        <v>16570</v>
      </c>
      <c r="E41" s="25">
        <f t="shared" ref="E41:E42" si="17">100*1.2+1.2*14075</f>
        <v>17010</v>
      </c>
      <c r="F41" s="25">
        <f t="shared" ref="F41:H41" si="18">100*1.2+1.2*14440+2</f>
        <v>17450</v>
      </c>
      <c r="G41" s="25">
        <f t="shared" si="18"/>
        <v>17450</v>
      </c>
      <c r="H41" s="25">
        <f t="shared" si="18"/>
        <v>17450</v>
      </c>
      <c r="I41" s="25">
        <f t="shared" ref="I41:I43" si="19">100*1.2+1.2*14995+1</f>
        <v>18115</v>
      </c>
      <c r="J41" s="25">
        <f t="shared" ref="J41:J43" si="20">100*1.2+1.2*16480+4</f>
        <v>19900</v>
      </c>
      <c r="K41" s="25">
        <f t="shared" ref="K41:K43" si="21">100*1.2+1.2*17585+3</f>
        <v>21225</v>
      </c>
      <c r="L41" s="53"/>
    </row>
    <row r="42" spans="1:12" ht="50.25" customHeight="1" x14ac:dyDescent="0.3">
      <c r="A42" s="85" t="s">
        <v>87</v>
      </c>
      <c r="B42" s="84" t="s">
        <v>124</v>
      </c>
      <c r="C42" s="25">
        <f t="shared" si="15"/>
        <v>15225</v>
      </c>
      <c r="D42" s="25">
        <f t="shared" si="16"/>
        <v>16570</v>
      </c>
      <c r="E42" s="25">
        <f t="shared" si="17"/>
        <v>17010</v>
      </c>
      <c r="F42" s="25">
        <f t="shared" ref="F42:H43" si="22">100*1.2+1.2*14995+1</f>
        <v>18115</v>
      </c>
      <c r="G42" s="25">
        <f t="shared" si="22"/>
        <v>18115</v>
      </c>
      <c r="H42" s="25">
        <f t="shared" si="22"/>
        <v>18115</v>
      </c>
      <c r="I42" s="25">
        <f t="shared" si="19"/>
        <v>18115</v>
      </c>
      <c r="J42" s="25">
        <f t="shared" si="20"/>
        <v>19900</v>
      </c>
      <c r="K42" s="25">
        <f t="shared" si="21"/>
        <v>21225</v>
      </c>
      <c r="L42" s="51"/>
    </row>
    <row r="43" spans="1:12" ht="34.5" customHeight="1" x14ac:dyDescent="0.3">
      <c r="A43" s="85" t="s">
        <v>88</v>
      </c>
      <c r="B43" s="84" t="s">
        <v>126</v>
      </c>
      <c r="C43" s="25">
        <f>100*1.2+1.2*11300</f>
        <v>13680</v>
      </c>
      <c r="D43" s="25">
        <f>100*1.2+1.2*12585+3</f>
        <v>15225</v>
      </c>
      <c r="E43" s="25">
        <f>100*1.2+1.2*14440+2</f>
        <v>17450</v>
      </c>
      <c r="F43" s="25">
        <f t="shared" si="22"/>
        <v>18115</v>
      </c>
      <c r="G43" s="25">
        <f t="shared" si="22"/>
        <v>18115</v>
      </c>
      <c r="H43" s="25">
        <f t="shared" si="22"/>
        <v>18115</v>
      </c>
      <c r="I43" s="25">
        <f t="shared" si="19"/>
        <v>18115</v>
      </c>
      <c r="J43" s="25">
        <f t="shared" si="20"/>
        <v>19900</v>
      </c>
      <c r="K43" s="25">
        <f t="shared" si="21"/>
        <v>21225</v>
      </c>
      <c r="L43" s="51"/>
    </row>
    <row r="44" spans="1:12" s="50" customFormat="1" ht="32.4" customHeight="1" x14ac:dyDescent="0.3">
      <c r="A44" s="124" t="s">
        <v>89</v>
      </c>
      <c r="B44" s="124"/>
      <c r="C44" s="124"/>
      <c r="D44" s="124"/>
      <c r="E44" s="124"/>
      <c r="F44" s="124"/>
      <c r="G44" s="124"/>
      <c r="H44" s="124"/>
      <c r="I44" s="124"/>
      <c r="J44" s="124"/>
      <c r="K44" s="124"/>
    </row>
    <row r="45" spans="1:12" s="50" customFormat="1" ht="31.5" customHeight="1" x14ac:dyDescent="0.3">
      <c r="A45" s="86" t="s">
        <v>90</v>
      </c>
      <c r="B45" s="124" t="s">
        <v>488</v>
      </c>
      <c r="C45" s="124"/>
      <c r="D45" s="124"/>
      <c r="E45" s="124"/>
      <c r="F45" s="124"/>
      <c r="G45" s="124"/>
      <c r="H45" s="124"/>
      <c r="I45" s="124"/>
      <c r="J45" s="124"/>
      <c r="K45" s="124"/>
    </row>
    <row r="46" spans="1:12" ht="64.5" customHeight="1" x14ac:dyDescent="0.3">
      <c r="A46" s="85" t="s">
        <v>91</v>
      </c>
      <c r="B46" s="84" t="s">
        <v>127</v>
      </c>
      <c r="C46" s="24">
        <f>100*1.06+1.06*15234+1</f>
        <v>16255.04</v>
      </c>
      <c r="D46" s="24">
        <f>100*1.06+1.06*16696+1</f>
        <v>17804.760000000002</v>
      </c>
      <c r="E46" s="24">
        <f>100*1.06+1.06*18353</f>
        <v>19560.18</v>
      </c>
      <c r="F46" s="24">
        <f>100*1.06+1.06*20214+2</f>
        <v>21534.84</v>
      </c>
      <c r="G46" s="24">
        <f>100*1.06+1.06*20988+2</f>
        <v>22355.280000000002</v>
      </c>
      <c r="H46" s="24">
        <f>100*1.06+1.06*20988+2</f>
        <v>22355.280000000002</v>
      </c>
      <c r="I46" s="24">
        <f>100*1.06+1.06*23651+4</f>
        <v>25180.06</v>
      </c>
      <c r="J46" s="24">
        <f>100*1.06+1.06*25627+4</f>
        <v>27274.620000000003</v>
      </c>
      <c r="K46" s="24">
        <f>100*1.06+1.06*27614+3</f>
        <v>29379.84</v>
      </c>
    </row>
    <row r="47" spans="1:12" s="50" customFormat="1" ht="19.8" customHeight="1" x14ac:dyDescent="0.3">
      <c r="A47" s="86" t="s">
        <v>92</v>
      </c>
      <c r="B47" s="124" t="s">
        <v>486</v>
      </c>
      <c r="C47" s="124"/>
      <c r="D47" s="124"/>
      <c r="E47" s="124"/>
      <c r="F47" s="124"/>
      <c r="G47" s="124"/>
      <c r="H47" s="124"/>
      <c r="I47" s="124"/>
      <c r="J47" s="124"/>
      <c r="K47" s="124"/>
    </row>
    <row r="48" spans="1:12" ht="31.2" x14ac:dyDescent="0.3">
      <c r="A48" s="85" t="s">
        <v>93</v>
      </c>
      <c r="B48" s="85" t="s">
        <v>94</v>
      </c>
      <c r="C48" s="24">
        <f>100*1.06+1.06*12785+2</f>
        <v>13660.1</v>
      </c>
      <c r="D48" s="24">
        <f>100*1.06+1.06*13915+4</f>
        <v>14859.900000000001</v>
      </c>
      <c r="E48" s="24">
        <f>100*1.06+1.06*15515+3</f>
        <v>16554.900000000001</v>
      </c>
      <c r="F48" s="24">
        <f>100*1.06+1.06*16880+1</f>
        <v>17999.8</v>
      </c>
      <c r="G48" s="24">
        <f>100*1.06+1.06*17330+4</f>
        <v>18479.8</v>
      </c>
      <c r="H48" s="24">
        <f>100*1.06+1.06*17330+4</f>
        <v>18479.8</v>
      </c>
      <c r="I48" s="24">
        <f>100*1.06+1.06*18475</f>
        <v>19689.5</v>
      </c>
      <c r="J48" s="24">
        <f>100*1.06+1.06*20305+1</f>
        <v>21630.3</v>
      </c>
      <c r="K48" s="24">
        <f>100*1.06+1.06*21665+4</f>
        <v>23074.9</v>
      </c>
    </row>
    <row r="49" spans="1:12" ht="80.25" customHeight="1" x14ac:dyDescent="0.3">
      <c r="A49" s="85" t="s">
        <v>95</v>
      </c>
      <c r="B49" s="84" t="s">
        <v>128</v>
      </c>
      <c r="C49" s="24">
        <f>100*1.06+1.06*11785+2</f>
        <v>12600.1</v>
      </c>
      <c r="D49" s="24">
        <f>100*1.06+1.06*12835+4</f>
        <v>13715.1</v>
      </c>
      <c r="E49" s="24">
        <f>100*1.06+1.06*14310</f>
        <v>15274.6</v>
      </c>
      <c r="F49" s="24">
        <f>100*1.06+1.06*15560</f>
        <v>16599.600000000002</v>
      </c>
      <c r="G49" s="24">
        <f>100*1.06+1.06*15980</f>
        <v>17044.8</v>
      </c>
      <c r="H49" s="24">
        <f>100*1.06+1.06*15980</f>
        <v>17044.8</v>
      </c>
      <c r="I49" s="24">
        <f>100*1.06+1.06*17035+2</f>
        <v>18165.100000000002</v>
      </c>
      <c r="J49" s="24">
        <f>100*1.06+1.06*18725</f>
        <v>19954.5</v>
      </c>
      <c r="K49" s="24">
        <f>100*1.06+1.06*19975</f>
        <v>21279.5</v>
      </c>
    </row>
    <row r="50" spans="1:12" ht="49.5" customHeight="1" x14ac:dyDescent="0.3">
      <c r="A50" s="85" t="s">
        <v>96</v>
      </c>
      <c r="B50" s="84" t="s">
        <v>129</v>
      </c>
      <c r="C50" s="24">
        <f>100*1.06+1.06*12835+4</f>
        <v>13715.1</v>
      </c>
      <c r="D50" s="24">
        <f>100*1.06+1.06*14310</f>
        <v>15274.6</v>
      </c>
      <c r="E50" s="24">
        <f>100*1.06+1.06*15560</f>
        <v>16599.600000000002</v>
      </c>
      <c r="F50" s="24">
        <f>100*1.06+1.06*15980</f>
        <v>17044.8</v>
      </c>
      <c r="G50" s="24">
        <f>100*1.06+1.06*15980</f>
        <v>17044.8</v>
      </c>
      <c r="H50" s="24">
        <f>100*1.06+1.06*15980</f>
        <v>17044.8</v>
      </c>
      <c r="I50" s="24">
        <f>100*1.06+1.06*17035+2</f>
        <v>18165.100000000002</v>
      </c>
      <c r="J50" s="24">
        <f>100*1.06+1.06*18725</f>
        <v>19954.5</v>
      </c>
      <c r="K50" s="24">
        <f>100*1.06+1.06*19975</f>
        <v>21279.5</v>
      </c>
    </row>
    <row r="51" spans="1:12" s="50" customFormat="1" ht="30.75" customHeight="1" x14ac:dyDescent="0.3">
      <c r="A51" s="86" t="s">
        <v>97</v>
      </c>
      <c r="B51" s="124" t="s">
        <v>487</v>
      </c>
      <c r="C51" s="124"/>
      <c r="D51" s="124"/>
      <c r="E51" s="124"/>
      <c r="F51" s="124"/>
      <c r="G51" s="124"/>
      <c r="H51" s="124"/>
      <c r="I51" s="124"/>
      <c r="J51" s="124"/>
      <c r="K51" s="124"/>
    </row>
    <row r="52" spans="1:12" ht="23.25" customHeight="1" x14ac:dyDescent="0.3">
      <c r="A52" s="85" t="s">
        <v>98</v>
      </c>
      <c r="B52" s="85" t="s">
        <v>78</v>
      </c>
      <c r="C52" s="24">
        <f>100*1.06+1.06*14680+3</f>
        <v>15669.800000000001</v>
      </c>
      <c r="D52" s="24">
        <f>100*1.06+1.06*15980</f>
        <v>17044.8</v>
      </c>
      <c r="E52" s="24">
        <f>100*1.06+1.06*17810</f>
        <v>18984.600000000002</v>
      </c>
      <c r="F52" s="24">
        <f>100*1.06+1.06*19390+1</f>
        <v>20660.400000000001</v>
      </c>
      <c r="G52" s="24">
        <f>100*1.06+1.06*19910+4</f>
        <v>21214.600000000002</v>
      </c>
      <c r="H52" s="24">
        <f>100*1.06+1.06*19910+4</f>
        <v>21214.600000000002</v>
      </c>
      <c r="I52" s="24">
        <f>100*1.06+1.06*21225</f>
        <v>22604.5</v>
      </c>
      <c r="J52" s="24">
        <f>100*1.06+1.06*23300+1</f>
        <v>24805</v>
      </c>
      <c r="K52" s="24">
        <f>100*1.06+1.06*24875+1</f>
        <v>26474.5</v>
      </c>
    </row>
    <row r="53" spans="1:12" s="55" customFormat="1" ht="31.5" customHeight="1" x14ac:dyDescent="0.3">
      <c r="A53" s="86" t="s">
        <v>99</v>
      </c>
      <c r="B53" s="124" t="s">
        <v>543</v>
      </c>
      <c r="C53" s="124"/>
      <c r="D53" s="124"/>
      <c r="E53" s="124"/>
      <c r="F53" s="124"/>
      <c r="G53" s="124"/>
      <c r="H53" s="124"/>
      <c r="I53" s="124"/>
      <c r="J53" s="124"/>
      <c r="K53" s="124"/>
    </row>
    <row r="54" spans="1:12" ht="62.25" customHeight="1" x14ac:dyDescent="0.3">
      <c r="A54" s="85" t="s">
        <v>100</v>
      </c>
      <c r="B54" s="84" t="s">
        <v>130</v>
      </c>
      <c r="C54" s="25">
        <f>100*1.2+1.2*10375</f>
        <v>12570</v>
      </c>
      <c r="D54" s="25">
        <f>100*1.2+1.2*11300</f>
        <v>13680</v>
      </c>
      <c r="E54" s="25">
        <f>100*1.2+1.2*12585+3</f>
        <v>15225</v>
      </c>
      <c r="F54" s="25">
        <f>100*1.2+1.2*13705+4</f>
        <v>16570</v>
      </c>
      <c r="G54" s="25">
        <f>100*1.2+1.2*14075</f>
        <v>17010</v>
      </c>
      <c r="H54" s="25">
        <f>100*1.2+1.2*14075</f>
        <v>17010</v>
      </c>
      <c r="I54" s="25">
        <f>100*1.2+1.2*14995+1</f>
        <v>18115</v>
      </c>
      <c r="J54" s="25">
        <f>100*1.2+1.2*16480+4</f>
        <v>19900</v>
      </c>
      <c r="K54" s="25">
        <f>100*1.2+1.2*17585+3</f>
        <v>21225</v>
      </c>
      <c r="L54" s="51"/>
    </row>
    <row r="55" spans="1:12" ht="52.5" customHeight="1" x14ac:dyDescent="0.3">
      <c r="A55" s="25" t="s">
        <v>101</v>
      </c>
      <c r="B55" s="84" t="s">
        <v>131</v>
      </c>
      <c r="C55" s="25">
        <f>100*1.2+1.2*11300</f>
        <v>13680</v>
      </c>
      <c r="D55" s="25">
        <f>100*1.2+1.2*12585+3</f>
        <v>15225</v>
      </c>
      <c r="E55" s="25">
        <f>100*1.2+1.2*13705+4</f>
        <v>16570</v>
      </c>
      <c r="F55" s="25">
        <f>100*1.2+1.2*14075</f>
        <v>17010</v>
      </c>
      <c r="G55" s="25">
        <f>100*1.2+1.2*14075</f>
        <v>17010</v>
      </c>
      <c r="H55" s="25">
        <f>100*1.2+1.2*14075</f>
        <v>17010</v>
      </c>
      <c r="I55" s="25">
        <f>100*1.2+1.2*14995+1</f>
        <v>18115</v>
      </c>
      <c r="J55" s="25">
        <f>100*1.2+1.2*16480+4</f>
        <v>19900</v>
      </c>
      <c r="K55" s="25">
        <f>100*1.2+1.2*17585+3</f>
        <v>21225</v>
      </c>
      <c r="L55" s="51"/>
    </row>
    <row r="56" spans="1:12" s="50" customFormat="1" ht="20.399999999999999" customHeight="1" x14ac:dyDescent="0.3">
      <c r="A56" s="86" t="s">
        <v>102</v>
      </c>
      <c r="B56" s="124" t="s">
        <v>545</v>
      </c>
      <c r="C56" s="124"/>
      <c r="D56" s="124"/>
      <c r="E56" s="124"/>
      <c r="F56" s="124"/>
      <c r="G56" s="124"/>
      <c r="H56" s="124"/>
      <c r="I56" s="124"/>
      <c r="J56" s="124"/>
      <c r="K56" s="124"/>
    </row>
    <row r="57" spans="1:12" ht="98.25" customHeight="1" x14ac:dyDescent="0.3">
      <c r="A57" s="85" t="s">
        <v>103</v>
      </c>
      <c r="B57" s="84" t="s">
        <v>130</v>
      </c>
      <c r="C57" s="25">
        <f>100*1.2+1.2*10375</f>
        <v>12570</v>
      </c>
      <c r="D57" s="25">
        <f>100*1.2+1.2*11300</f>
        <v>13680</v>
      </c>
      <c r="E57" s="25">
        <f>100*1.2+1.2*12585+3</f>
        <v>15225</v>
      </c>
      <c r="F57" s="25">
        <f>100*1.2+1.2*13705+4</f>
        <v>16570</v>
      </c>
      <c r="G57" s="25">
        <f>100*1.2+1.2*14075</f>
        <v>17010</v>
      </c>
      <c r="H57" s="25">
        <f>100*1.2+1.2*14075</f>
        <v>17010</v>
      </c>
      <c r="I57" s="25">
        <f>100*1.2+1.2*14995+1</f>
        <v>18115</v>
      </c>
      <c r="J57" s="25">
        <f>100*1.2+1.2*16480+4</f>
        <v>19900</v>
      </c>
      <c r="K57" s="25">
        <f>100*1.2+1.2*17585+3</f>
        <v>21225</v>
      </c>
      <c r="L57" s="51"/>
    </row>
    <row r="58" spans="1:12" ht="48" customHeight="1" x14ac:dyDescent="0.3">
      <c r="A58" s="85" t="s">
        <v>104</v>
      </c>
      <c r="B58" s="84" t="s">
        <v>131</v>
      </c>
      <c r="C58" s="25">
        <f>100*1.2+1.2*11300</f>
        <v>13680</v>
      </c>
      <c r="D58" s="25">
        <f>100*1.2+1.2*12585+3</f>
        <v>15225</v>
      </c>
      <c r="E58" s="25">
        <f>100*1.2+1.2*13705+4</f>
        <v>16570</v>
      </c>
      <c r="F58" s="25">
        <f>100*1.2+1.2*14075</f>
        <v>17010</v>
      </c>
      <c r="G58" s="25">
        <f>100*1.2+1.2*14075</f>
        <v>17010</v>
      </c>
      <c r="H58" s="25">
        <f>100*1.2+1.2*14075</f>
        <v>17010</v>
      </c>
      <c r="I58" s="25">
        <f>100*1.2+1.2*14995+1</f>
        <v>18115</v>
      </c>
      <c r="J58" s="25">
        <f>100*1.2+1.2*16480+4</f>
        <v>19900</v>
      </c>
      <c r="K58" s="25">
        <f>100*1.2+1.2*17585+3</f>
        <v>21225</v>
      </c>
      <c r="L58" s="51"/>
    </row>
    <row r="59" spans="1:12" ht="15.6" x14ac:dyDescent="0.3">
      <c r="A59" s="18"/>
    </row>
    <row r="60" spans="1:12" ht="15.6" x14ac:dyDescent="0.3">
      <c r="A60" s="18"/>
    </row>
    <row r="61" spans="1:12" ht="15.6" x14ac:dyDescent="0.3">
      <c r="A61" s="18"/>
    </row>
    <row r="62" spans="1:12" ht="15.6" x14ac:dyDescent="0.3">
      <c r="A62" s="18"/>
    </row>
    <row r="63" spans="1:12" ht="15.6" x14ac:dyDescent="0.3">
      <c r="A63" s="18"/>
    </row>
    <row r="64" spans="1:12" ht="15.6" x14ac:dyDescent="0.3">
      <c r="A64" s="18"/>
    </row>
    <row r="65" spans="1:1" ht="15.6" x14ac:dyDescent="0.3">
      <c r="A65" s="18"/>
    </row>
    <row r="66" spans="1:1" ht="15.6" x14ac:dyDescent="0.3">
      <c r="A66" s="18"/>
    </row>
  </sheetData>
  <mergeCells count="19">
    <mergeCell ref="A10:A14"/>
    <mergeCell ref="C10:H10"/>
    <mergeCell ref="I10:K10"/>
    <mergeCell ref="A6:K6"/>
    <mergeCell ref="A7:K7"/>
    <mergeCell ref="A8:K8"/>
    <mergeCell ref="B39:K39"/>
    <mergeCell ref="B56:K56"/>
    <mergeCell ref="B53:K53"/>
    <mergeCell ref="B51:K51"/>
    <mergeCell ref="B47:K47"/>
    <mergeCell ref="A44:K44"/>
    <mergeCell ref="B45:K45"/>
    <mergeCell ref="A16:K16"/>
    <mergeCell ref="B17:K17"/>
    <mergeCell ref="B34:K34"/>
    <mergeCell ref="B32:K32"/>
    <mergeCell ref="B26:K26"/>
    <mergeCell ref="B20:K20"/>
  </mergeCells>
  <pageMargins left="0.70866141732283472" right="0.70866141732283472" top="0.74803149606299213" bottom="0.74803149606299213" header="0.31496062992125984" footer="0.31496062992125984"/>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3"/>
  <sheetViews>
    <sheetView workbookViewId="0">
      <selection activeCell="C4" sqref="C4"/>
    </sheetView>
  </sheetViews>
  <sheetFormatPr defaultRowHeight="14.4" x14ac:dyDescent="0.3"/>
  <cols>
    <col min="1" max="1" width="5.88671875" customWidth="1"/>
    <col min="2" max="2" width="18" customWidth="1"/>
    <col min="3" max="7" width="7.88671875" customWidth="1"/>
    <col min="8" max="10" width="9.33203125" customWidth="1"/>
  </cols>
  <sheetData>
    <row r="1" spans="1:10" ht="15" x14ac:dyDescent="0.25">
      <c r="E1">
        <v>6</v>
      </c>
    </row>
    <row r="2" spans="1:10" ht="25.5" customHeight="1" x14ac:dyDescent="0.3">
      <c r="J2" s="18" t="s">
        <v>21</v>
      </c>
    </row>
    <row r="3" spans="1:10" ht="62.4" x14ac:dyDescent="0.3">
      <c r="A3" s="9" t="s">
        <v>145</v>
      </c>
      <c r="B3" s="9" t="s">
        <v>144</v>
      </c>
      <c r="C3" s="132" t="s">
        <v>152</v>
      </c>
      <c r="D3" s="132"/>
      <c r="E3" s="132"/>
      <c r="F3" s="132"/>
      <c r="G3" s="132" t="s">
        <v>143</v>
      </c>
      <c r="H3" s="132"/>
      <c r="I3" s="132"/>
      <c r="J3" s="132"/>
    </row>
    <row r="4" spans="1:10" ht="15.6" x14ac:dyDescent="0.3">
      <c r="A4" s="41"/>
      <c r="B4" s="41"/>
      <c r="C4" s="26" t="s">
        <v>132</v>
      </c>
      <c r="D4" s="9" t="s">
        <v>133</v>
      </c>
      <c r="E4" s="26" t="s">
        <v>135</v>
      </c>
      <c r="F4" s="9" t="s">
        <v>137</v>
      </c>
      <c r="G4" s="26" t="s">
        <v>138</v>
      </c>
      <c r="H4" s="9" t="s">
        <v>56</v>
      </c>
      <c r="I4" s="26" t="s">
        <v>59</v>
      </c>
      <c r="J4" s="9" t="s">
        <v>110</v>
      </c>
    </row>
    <row r="5" spans="1:10" ht="46.8" x14ac:dyDescent="0.3">
      <c r="A5" s="41"/>
      <c r="B5" s="41"/>
      <c r="C5" s="26" t="s">
        <v>148</v>
      </c>
      <c r="D5" s="10" t="s">
        <v>149</v>
      </c>
      <c r="E5" s="26" t="s">
        <v>150</v>
      </c>
      <c r="F5" s="10" t="s">
        <v>151</v>
      </c>
      <c r="G5" s="26" t="s">
        <v>139</v>
      </c>
      <c r="H5" s="10" t="s">
        <v>147</v>
      </c>
      <c r="I5" s="26" t="s">
        <v>147</v>
      </c>
      <c r="J5" s="10" t="s">
        <v>147</v>
      </c>
    </row>
    <row r="6" spans="1:10" ht="15.6" x14ac:dyDescent="0.3">
      <c r="A6" s="41"/>
      <c r="B6" s="41"/>
      <c r="C6" s="26"/>
      <c r="D6" s="7"/>
      <c r="E6" s="26"/>
      <c r="F6" s="7"/>
      <c r="G6" s="42"/>
      <c r="H6" s="7" t="s">
        <v>140</v>
      </c>
      <c r="I6" s="26" t="s">
        <v>140</v>
      </c>
      <c r="J6" s="7" t="s">
        <v>140</v>
      </c>
    </row>
    <row r="7" spans="1:10" s="13" customFormat="1" ht="15.75" x14ac:dyDescent="0.25">
      <c r="A7" s="5">
        <v>1</v>
      </c>
      <c r="B7" s="5">
        <v>2</v>
      </c>
      <c r="C7" s="5">
        <v>3</v>
      </c>
      <c r="D7" s="5">
        <v>4</v>
      </c>
      <c r="E7" s="5">
        <v>5</v>
      </c>
      <c r="F7" s="5">
        <v>6</v>
      </c>
      <c r="G7" s="5">
        <v>7</v>
      </c>
      <c r="H7" s="5">
        <v>8</v>
      </c>
      <c r="I7" s="5">
        <v>9</v>
      </c>
      <c r="J7" s="5">
        <v>10</v>
      </c>
    </row>
    <row r="8" spans="1:10" s="50" customFormat="1" ht="31.5" customHeight="1" x14ac:dyDescent="0.3">
      <c r="A8" s="123" t="s">
        <v>146</v>
      </c>
      <c r="B8" s="123"/>
      <c r="C8" s="123"/>
      <c r="D8" s="123"/>
      <c r="E8" s="123"/>
      <c r="F8" s="123"/>
      <c r="G8" s="123"/>
      <c r="H8" s="123"/>
      <c r="I8" s="123"/>
      <c r="J8" s="123"/>
    </row>
    <row r="9" spans="1:10" s="50" customFormat="1" ht="47.25" customHeight="1" x14ac:dyDescent="0.3">
      <c r="A9" s="54" t="s">
        <v>60</v>
      </c>
      <c r="B9" s="123" t="s">
        <v>489</v>
      </c>
      <c r="C9" s="123"/>
      <c r="D9" s="123"/>
      <c r="E9" s="123"/>
      <c r="F9" s="123"/>
      <c r="G9" s="123"/>
      <c r="H9" s="123"/>
      <c r="I9" s="123"/>
      <c r="J9" s="123"/>
    </row>
    <row r="10" spans="1:10" ht="31.2" x14ac:dyDescent="0.3">
      <c r="A10" s="85" t="s">
        <v>61</v>
      </c>
      <c r="B10" s="85" t="s">
        <v>141</v>
      </c>
      <c r="C10" s="24">
        <f>100*1.06+1.06*16696+1</f>
        <v>17804.760000000002</v>
      </c>
      <c r="D10" s="24">
        <f>100*1.06+1.06*18353</f>
        <v>19560.18</v>
      </c>
      <c r="E10" s="24">
        <f>100*1.06+1.06*20133+3</f>
        <v>21449.98</v>
      </c>
      <c r="F10" s="24">
        <f>100*1.06+1.06*22098</f>
        <v>23529.88</v>
      </c>
      <c r="G10" s="24">
        <f>100*1.06+1.06*23651+4</f>
        <v>25180.06</v>
      </c>
      <c r="H10" s="24">
        <f>100*1.06+1.06*23651+4</f>
        <v>25180.06</v>
      </c>
      <c r="I10" s="24">
        <f>100*1.06+1.06*25627+4</f>
        <v>27274.620000000003</v>
      </c>
      <c r="J10" s="24">
        <f>100*1.06+1.06*27614+3</f>
        <v>29379.84</v>
      </c>
    </row>
    <row r="11" spans="1:10" s="50" customFormat="1" ht="15.6" x14ac:dyDescent="0.3">
      <c r="A11" s="86" t="s">
        <v>64</v>
      </c>
      <c r="B11" s="124" t="s">
        <v>490</v>
      </c>
      <c r="C11" s="124"/>
      <c r="D11" s="124"/>
      <c r="E11" s="124"/>
      <c r="F11" s="124"/>
      <c r="G11" s="124"/>
      <c r="H11" s="124"/>
      <c r="I11" s="124"/>
      <c r="J11" s="124"/>
    </row>
    <row r="12" spans="1:10" ht="31.2" x14ac:dyDescent="0.3">
      <c r="A12" s="85" t="s">
        <v>65</v>
      </c>
      <c r="B12" s="85" t="s">
        <v>141</v>
      </c>
      <c r="C12" s="24">
        <f>100*1.06+1.06*13915+4</f>
        <v>14859.900000000001</v>
      </c>
      <c r="D12" s="24">
        <f>100*1.06+1.06*15515+3</f>
        <v>16554.900000000001</v>
      </c>
      <c r="E12" s="24">
        <f>100*1.06+1.06*16880+1</f>
        <v>17999.8</v>
      </c>
      <c r="F12" s="24">
        <f>100*1.06+1.06*17330+4</f>
        <v>18479.8</v>
      </c>
      <c r="G12" s="24">
        <f>100*1.06+1.06*18475</f>
        <v>19689.5</v>
      </c>
      <c r="H12" s="24">
        <f>100*1.06+1.06*18475</f>
        <v>19689.5</v>
      </c>
      <c r="I12" s="24">
        <f>100*1.06+1.06*20305+1</f>
        <v>21630.3</v>
      </c>
      <c r="J12" s="24">
        <f>100*1.06+1.06*21665+4</f>
        <v>23074.9</v>
      </c>
    </row>
    <row r="13" spans="1:10" s="50" customFormat="1" ht="31.5" customHeight="1" x14ac:dyDescent="0.3">
      <c r="A13" s="86" t="s">
        <v>70</v>
      </c>
      <c r="B13" s="124" t="s">
        <v>491</v>
      </c>
      <c r="C13" s="124"/>
      <c r="D13" s="124"/>
      <c r="E13" s="124"/>
      <c r="F13" s="124"/>
      <c r="G13" s="124"/>
      <c r="H13" s="124"/>
      <c r="I13" s="124"/>
      <c r="J13" s="124"/>
    </row>
    <row r="14" spans="1:10" ht="31.2" x14ac:dyDescent="0.3">
      <c r="A14" s="85" t="s">
        <v>71</v>
      </c>
      <c r="B14" s="85" t="s">
        <v>141</v>
      </c>
      <c r="C14" s="24">
        <f>100*1.06+1.06*14745+4</f>
        <v>15739.7</v>
      </c>
      <c r="D14" s="24">
        <f>100*1.06+1.06*16425+3</f>
        <v>17519.5</v>
      </c>
      <c r="E14" s="24">
        <f>100*1.06+1.06*17880+1</f>
        <v>19059.8</v>
      </c>
      <c r="F14" s="24">
        <f>100*1.06+1.06*18365+2</f>
        <v>19574.900000000001</v>
      </c>
      <c r="G14" s="24">
        <f>100*1.06+1.06*19575+4</f>
        <v>20859.5</v>
      </c>
      <c r="H14" s="24">
        <f>100*1.06+1.06*19575+4</f>
        <v>20859.5</v>
      </c>
      <c r="I14" s="24">
        <f>100*1.06+1.06*21495+4</f>
        <v>22894.7</v>
      </c>
      <c r="J14" s="24">
        <f>100*1.06+1.06*22945+2</f>
        <v>24429.7</v>
      </c>
    </row>
    <row r="15" spans="1:10" s="50" customFormat="1" ht="80.400000000000006" customHeight="1" x14ac:dyDescent="0.3">
      <c r="A15" s="86" t="s">
        <v>76</v>
      </c>
      <c r="B15" s="128" t="s">
        <v>492</v>
      </c>
      <c r="C15" s="129"/>
      <c r="D15" s="129"/>
      <c r="E15" s="129"/>
      <c r="F15" s="129"/>
      <c r="G15" s="129"/>
      <c r="H15" s="129"/>
      <c r="I15" s="129"/>
      <c r="J15" s="130"/>
    </row>
    <row r="16" spans="1:10" ht="31.2" x14ac:dyDescent="0.3">
      <c r="A16" s="85" t="s">
        <v>77</v>
      </c>
      <c r="B16" s="85" t="s">
        <v>141</v>
      </c>
      <c r="C16" s="25">
        <f>100*1.06+1.06*11300+1</f>
        <v>12085</v>
      </c>
      <c r="D16" s="25">
        <f>100*1.06+1.06*12585+4</f>
        <v>13450.1</v>
      </c>
      <c r="E16" s="25">
        <f>100*1.06+1.06*13705+2</f>
        <v>14635.300000000001</v>
      </c>
      <c r="F16" s="25">
        <f>100*1.06+1.06*14075+4</f>
        <v>15029.5</v>
      </c>
      <c r="G16" s="25">
        <f>100*1.06+1.06*14995+4</f>
        <v>16004.7</v>
      </c>
      <c r="H16" s="25">
        <f>100*1.06+1.06*14995+4</f>
        <v>16004.7</v>
      </c>
      <c r="I16" s="25">
        <f>100*1.06+1.06*16480</f>
        <v>17574.8</v>
      </c>
      <c r="J16" s="25">
        <f>100*1.06+1.06*17585+4</f>
        <v>18750.100000000002</v>
      </c>
    </row>
    <row r="17" spans="1:10" s="50" customFormat="1" ht="36.75" customHeight="1" x14ac:dyDescent="0.3">
      <c r="A17" s="86" t="s">
        <v>79</v>
      </c>
      <c r="B17" s="127" t="s">
        <v>546</v>
      </c>
      <c r="C17" s="127"/>
      <c r="D17" s="127"/>
      <c r="E17" s="127"/>
      <c r="F17" s="127"/>
      <c r="G17" s="127"/>
      <c r="H17" s="127"/>
      <c r="I17" s="127"/>
      <c r="J17" s="127"/>
    </row>
    <row r="18" spans="1:10" ht="31.2" x14ac:dyDescent="0.3">
      <c r="A18" s="85" t="s">
        <v>80</v>
      </c>
      <c r="B18" s="85" t="s">
        <v>141</v>
      </c>
      <c r="C18" s="25">
        <f>100*1.2+1.2*11300</f>
        <v>13680</v>
      </c>
      <c r="D18" s="25">
        <f>100*1.2+1.2*12585+3</f>
        <v>15225</v>
      </c>
      <c r="E18" s="25">
        <f>100*1.2+1.2*13705+4</f>
        <v>16570</v>
      </c>
      <c r="F18" s="25">
        <f>100*1.2+1.2*14075</f>
        <v>17010</v>
      </c>
      <c r="G18" s="25">
        <f>100*1.2+1.2*14995+1</f>
        <v>18115</v>
      </c>
      <c r="H18" s="25">
        <f>100*1.2+1.2*14995+1</f>
        <v>18115</v>
      </c>
      <c r="I18" s="25">
        <f>100*1.2+1.2*16480+4</f>
        <v>19900</v>
      </c>
      <c r="J18" s="25">
        <f>100*1.2+1.2*17585+3</f>
        <v>21225</v>
      </c>
    </row>
    <row r="19" spans="1:10" s="50" customFormat="1" ht="36.75" customHeight="1" x14ac:dyDescent="0.3">
      <c r="A19" s="89" t="s">
        <v>84</v>
      </c>
      <c r="B19" s="127" t="s">
        <v>547</v>
      </c>
      <c r="C19" s="127"/>
      <c r="D19" s="127"/>
      <c r="E19" s="127"/>
      <c r="F19" s="127"/>
      <c r="G19" s="127"/>
      <c r="H19" s="127"/>
      <c r="I19" s="127"/>
      <c r="J19" s="127"/>
    </row>
    <row r="20" spans="1:10" ht="31.2" x14ac:dyDescent="0.3">
      <c r="A20" s="85" t="s">
        <v>85</v>
      </c>
      <c r="B20" s="85" t="s">
        <v>141</v>
      </c>
      <c r="C20" s="25">
        <f>100*1.2+1.2*11300</f>
        <v>13680</v>
      </c>
      <c r="D20" s="25">
        <f>100*1.2+1.2*12585+3</f>
        <v>15225</v>
      </c>
      <c r="E20" s="25">
        <f>100*1.2+1.2*13705+4</f>
        <v>16570</v>
      </c>
      <c r="F20" s="25">
        <f>100*1.2+1.2*14075</f>
        <v>17010</v>
      </c>
      <c r="G20" s="25">
        <f>100*1.2+1.2*14995+1</f>
        <v>18115</v>
      </c>
      <c r="H20" s="25">
        <f>100*1.2+1.2*14995+1</f>
        <v>18115</v>
      </c>
      <c r="I20" s="25">
        <f>100*1.2+1.2*16480+4</f>
        <v>19900</v>
      </c>
      <c r="J20" s="25">
        <f>100*1.2+1.2*17585+3</f>
        <v>21225</v>
      </c>
    </row>
    <row r="21" spans="1:10" s="50" customFormat="1" ht="47.25" customHeight="1" x14ac:dyDescent="0.3">
      <c r="A21" s="124" t="s">
        <v>142</v>
      </c>
      <c r="B21" s="131"/>
      <c r="C21" s="131"/>
      <c r="D21" s="131"/>
      <c r="E21" s="131"/>
      <c r="F21" s="131"/>
      <c r="G21" s="131"/>
      <c r="H21" s="131"/>
      <c r="I21" s="131"/>
      <c r="J21" s="131"/>
    </row>
    <row r="22" spans="1:10" s="50" customFormat="1" ht="47.25" customHeight="1" x14ac:dyDescent="0.3">
      <c r="A22" s="86" t="s">
        <v>90</v>
      </c>
      <c r="B22" s="124" t="s">
        <v>489</v>
      </c>
      <c r="C22" s="124"/>
      <c r="D22" s="124"/>
      <c r="E22" s="124"/>
      <c r="F22" s="124"/>
      <c r="G22" s="124"/>
      <c r="H22" s="124"/>
      <c r="I22" s="124"/>
      <c r="J22" s="124"/>
    </row>
    <row r="23" spans="1:10" ht="31.2" x14ac:dyDescent="0.3">
      <c r="A23" s="85" t="s">
        <v>91</v>
      </c>
      <c r="B23" s="85" t="s">
        <v>141</v>
      </c>
      <c r="C23" s="24">
        <f>100*1.06+1.06*15234+1</f>
        <v>16255.04</v>
      </c>
      <c r="D23" s="24">
        <f>100*1.06+1.06*16696+1</f>
        <v>17804.760000000002</v>
      </c>
      <c r="E23" s="24">
        <f>100*1.06+1.06*18353</f>
        <v>19560.18</v>
      </c>
      <c r="F23" s="24">
        <f>100*1.06+1.06*20214+2</f>
        <v>21534.84</v>
      </c>
      <c r="G23" s="24">
        <f>100*1.06+1.06*20214+2</f>
        <v>21534.84</v>
      </c>
      <c r="H23" s="24">
        <f>100*1.06+1.06*23651+4</f>
        <v>25180.06</v>
      </c>
      <c r="I23" s="24">
        <f>100*1.06+1.06*25627+4</f>
        <v>27274.620000000003</v>
      </c>
      <c r="J23" s="24">
        <f>100*1.06+1.06*27614+3</f>
        <v>29379.84</v>
      </c>
    </row>
    <row r="24" spans="1:10" s="50" customFormat="1" ht="15.6" x14ac:dyDescent="0.3">
      <c r="A24" s="86" t="s">
        <v>92</v>
      </c>
      <c r="B24" s="124" t="s">
        <v>490</v>
      </c>
      <c r="C24" s="124"/>
      <c r="D24" s="124"/>
      <c r="E24" s="124"/>
      <c r="F24" s="124"/>
      <c r="G24" s="124"/>
      <c r="H24" s="124"/>
      <c r="I24" s="124"/>
      <c r="J24" s="124"/>
    </row>
    <row r="25" spans="1:10" ht="31.2" x14ac:dyDescent="0.3">
      <c r="A25" s="85" t="s">
        <v>93</v>
      </c>
      <c r="B25" s="85" t="s">
        <v>141</v>
      </c>
      <c r="C25" s="24">
        <f>100*1.06+1.06*12785+2</f>
        <v>13660.1</v>
      </c>
      <c r="D25" s="24">
        <f>100*1.06+1.06*13915+4</f>
        <v>14859.900000000001</v>
      </c>
      <c r="E25" s="24">
        <f>100*1.06+1.06*15515+3</f>
        <v>16554.900000000001</v>
      </c>
      <c r="F25" s="24">
        <f>100*1.06+1.06*16880+1</f>
        <v>17999.8</v>
      </c>
      <c r="G25" s="24">
        <f>100*1.06+1.06*16880+1</f>
        <v>17999.8</v>
      </c>
      <c r="H25" s="24">
        <f>100*1.06+1.06*18475</f>
        <v>19689.5</v>
      </c>
      <c r="I25" s="24">
        <f>100*1.06+1.06*20305+1</f>
        <v>21630.3</v>
      </c>
      <c r="J25" s="24">
        <f>100*1.06+1.06*21665+4</f>
        <v>23074.9</v>
      </c>
    </row>
    <row r="26" spans="1:10" s="50" customFormat="1" ht="31.5" customHeight="1" x14ac:dyDescent="0.3">
      <c r="A26" s="86" t="s">
        <v>97</v>
      </c>
      <c r="B26" s="124" t="s">
        <v>491</v>
      </c>
      <c r="C26" s="124"/>
      <c r="D26" s="124"/>
      <c r="E26" s="124"/>
      <c r="F26" s="124"/>
      <c r="G26" s="124"/>
      <c r="H26" s="124"/>
      <c r="I26" s="124"/>
      <c r="J26" s="124"/>
    </row>
    <row r="27" spans="1:10" ht="31.2" x14ac:dyDescent="0.3">
      <c r="A27" s="85" t="s">
        <v>98</v>
      </c>
      <c r="B27" s="85" t="s">
        <v>141</v>
      </c>
      <c r="C27" s="24">
        <f>100*1.06+1.06*13535+2</f>
        <v>14455.1</v>
      </c>
      <c r="D27" s="24">
        <f>100*1.06+1.06*14745+4</f>
        <v>15739.7</v>
      </c>
      <c r="E27" s="24">
        <f>100*1.06+1.06*16425+3</f>
        <v>17519.5</v>
      </c>
      <c r="F27" s="24">
        <f>100*1.06+1.06*17880+1</f>
        <v>19059.8</v>
      </c>
      <c r="G27" s="24">
        <f>100*1.06+1.06*17880+1</f>
        <v>19059.8</v>
      </c>
      <c r="H27" s="24">
        <f>100*1.06+1.06*19575+4</f>
        <v>20859.5</v>
      </c>
      <c r="I27" s="24">
        <f>100*1.06+1.06*21495+4</f>
        <v>22894.7</v>
      </c>
      <c r="J27" s="24">
        <f>100*1.06+1.06*22945+2</f>
        <v>24429.7</v>
      </c>
    </row>
    <row r="28" spans="1:10" s="50" customFormat="1" ht="75.599999999999994" customHeight="1" x14ac:dyDescent="0.3">
      <c r="A28" s="86" t="s">
        <v>99</v>
      </c>
      <c r="B28" s="124" t="s">
        <v>492</v>
      </c>
      <c r="C28" s="124"/>
      <c r="D28" s="124"/>
      <c r="E28" s="124"/>
      <c r="F28" s="124"/>
      <c r="G28" s="124"/>
      <c r="H28" s="124"/>
      <c r="I28" s="124"/>
      <c r="J28" s="124"/>
    </row>
    <row r="29" spans="1:10" ht="31.2" x14ac:dyDescent="0.3">
      <c r="A29" s="85" t="s">
        <v>100</v>
      </c>
      <c r="B29" s="85" t="s">
        <v>141</v>
      </c>
      <c r="C29" s="25">
        <f>100*1.06+1.06*10375+1</f>
        <v>11104.5</v>
      </c>
      <c r="D29" s="25">
        <f>100*1.06+1.06*11300+1</f>
        <v>12085</v>
      </c>
      <c r="E29" s="25">
        <f>100*1.06+1.06*12585+4</f>
        <v>13450.1</v>
      </c>
      <c r="F29" s="25">
        <f>100*1.06+1.06*13705+2</f>
        <v>14635.300000000001</v>
      </c>
      <c r="G29" s="25">
        <f>100*1.06+1.06*13705+2</f>
        <v>14635.300000000001</v>
      </c>
      <c r="H29" s="25">
        <f>100*1.06+1.06*14995+4</f>
        <v>16004.7</v>
      </c>
      <c r="I29" s="25">
        <f>100*1.06+1.06*16480</f>
        <v>17574.8</v>
      </c>
      <c r="J29" s="25">
        <f>100*1.06+1.06*17585+4</f>
        <v>18750.100000000002</v>
      </c>
    </row>
    <row r="30" spans="1:10" s="50" customFormat="1" ht="31.5" customHeight="1" x14ac:dyDescent="0.3">
      <c r="A30" s="86" t="s">
        <v>102</v>
      </c>
      <c r="B30" s="128" t="s">
        <v>548</v>
      </c>
      <c r="C30" s="129"/>
      <c r="D30" s="129"/>
      <c r="E30" s="129"/>
      <c r="F30" s="129"/>
      <c r="G30" s="129"/>
      <c r="H30" s="129"/>
      <c r="I30" s="129"/>
      <c r="J30" s="130"/>
    </row>
    <row r="31" spans="1:10" ht="31.2" x14ac:dyDescent="0.3">
      <c r="A31" s="85" t="s">
        <v>103</v>
      </c>
      <c r="B31" s="85" t="s">
        <v>141</v>
      </c>
      <c r="C31" s="25">
        <f>100*1.2+1.2*10375</f>
        <v>12570</v>
      </c>
      <c r="D31" s="25">
        <f>100*1.2+1.2*11300</f>
        <v>13680</v>
      </c>
      <c r="E31" s="25">
        <f>100*1.2+1.2*12585+3</f>
        <v>15225</v>
      </c>
      <c r="F31" s="25">
        <f>100*1.2+1.2*13705+4</f>
        <v>16570</v>
      </c>
      <c r="G31" s="25">
        <f>100*1.2+1.2*13705+4</f>
        <v>16570</v>
      </c>
      <c r="H31" s="25">
        <f>100*1.2+1.2*14995+1</f>
        <v>18115</v>
      </c>
      <c r="I31" s="25">
        <f>100*1.2+1.2*16480+4</f>
        <v>19900</v>
      </c>
      <c r="J31" s="25">
        <f>100*1.2+1.2*17585+3</f>
        <v>21225</v>
      </c>
    </row>
    <row r="32" spans="1:10" s="50" customFormat="1" ht="31.5" customHeight="1" x14ac:dyDescent="0.3">
      <c r="A32" s="89" t="s">
        <v>541</v>
      </c>
      <c r="B32" s="127" t="s">
        <v>547</v>
      </c>
      <c r="C32" s="127"/>
      <c r="D32" s="127"/>
      <c r="E32" s="127"/>
      <c r="F32" s="127"/>
      <c r="G32" s="127"/>
      <c r="H32" s="127"/>
      <c r="I32" s="127"/>
      <c r="J32" s="127"/>
    </row>
    <row r="33" spans="1:10" ht="31.2" x14ac:dyDescent="0.3">
      <c r="A33" s="85" t="s">
        <v>542</v>
      </c>
      <c r="B33" s="85" t="s">
        <v>141</v>
      </c>
      <c r="C33" s="25">
        <f>100*1.2+1.2*10375</f>
        <v>12570</v>
      </c>
      <c r="D33" s="25">
        <f>100*1.2+1.2*11300</f>
        <v>13680</v>
      </c>
      <c r="E33" s="25">
        <f>100*1.2+1.2*12585+3</f>
        <v>15225</v>
      </c>
      <c r="F33" s="25">
        <f>100*1.2+1.2*13705+4</f>
        <v>16570</v>
      </c>
      <c r="G33" s="25">
        <f>100*1.2+1.2*13705+4</f>
        <v>16570</v>
      </c>
      <c r="H33" s="25">
        <f>100*1.2+1.2*14995+1</f>
        <v>18115</v>
      </c>
      <c r="I33" s="25">
        <f>100*1.2+1.2*16480+4</f>
        <v>19900</v>
      </c>
      <c r="J33" s="25">
        <f>100*1.2+1.2*17585+3</f>
        <v>21225</v>
      </c>
    </row>
  </sheetData>
  <mergeCells count="16">
    <mergeCell ref="C3:F3"/>
    <mergeCell ref="G3:J3"/>
    <mergeCell ref="A8:J8"/>
    <mergeCell ref="B9:J9"/>
    <mergeCell ref="B11:J11"/>
    <mergeCell ref="B32:J32"/>
    <mergeCell ref="B30:J30"/>
    <mergeCell ref="B28:J28"/>
    <mergeCell ref="A21:J21"/>
    <mergeCell ref="B13:J13"/>
    <mergeCell ref="B17:J17"/>
    <mergeCell ref="B22:J22"/>
    <mergeCell ref="B24:J24"/>
    <mergeCell ref="B26:J26"/>
    <mergeCell ref="B15:J15"/>
    <mergeCell ref="B19:J19"/>
  </mergeCells>
  <pageMargins left="0.70866141732283472" right="0.70866141732283472" top="0.74803149606299213" bottom="0.74803149606299213" header="0.31496062992125984" footer="0.31496062992125984"/>
  <pageSetup paperSize="9" fitToHeight="0"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1"/>
  <sheetViews>
    <sheetView topLeftCell="A7" workbookViewId="0">
      <selection activeCell="C4" sqref="C4"/>
    </sheetView>
  </sheetViews>
  <sheetFormatPr defaultRowHeight="14.4" x14ac:dyDescent="0.3"/>
  <cols>
    <col min="1" max="1" width="5.88671875" customWidth="1"/>
    <col min="2" max="2" width="39.33203125" customWidth="1"/>
    <col min="3" max="3" width="7.44140625" customWidth="1"/>
    <col min="4" max="10" width="8" customWidth="1"/>
    <col min="11" max="13" width="8.6640625" customWidth="1"/>
  </cols>
  <sheetData>
    <row r="1" spans="1:13" ht="13.2" customHeight="1" x14ac:dyDescent="0.25">
      <c r="E1">
        <v>8</v>
      </c>
    </row>
    <row r="2" spans="1:13" ht="13.8" customHeight="1" x14ac:dyDescent="0.3">
      <c r="M2" s="18" t="s">
        <v>25</v>
      </c>
    </row>
    <row r="3" spans="1:13" ht="54.6" customHeight="1" x14ac:dyDescent="0.3">
      <c r="A3" s="9" t="s">
        <v>153</v>
      </c>
      <c r="B3" s="111" t="s">
        <v>178</v>
      </c>
      <c r="C3" s="110" t="s">
        <v>173</v>
      </c>
      <c r="D3" s="133"/>
      <c r="E3" s="133"/>
      <c r="F3" s="133"/>
      <c r="G3" s="133"/>
      <c r="H3" s="133"/>
      <c r="I3" s="133"/>
      <c r="J3" s="134"/>
      <c r="K3" s="135" t="s">
        <v>181</v>
      </c>
      <c r="L3" s="136"/>
      <c r="M3" s="137"/>
    </row>
    <row r="4" spans="1:13" ht="15.6" x14ac:dyDescent="0.3">
      <c r="A4" s="10" t="s">
        <v>154</v>
      </c>
      <c r="B4" s="112"/>
      <c r="C4" s="26" t="s">
        <v>155</v>
      </c>
      <c r="D4" s="10" t="s">
        <v>133</v>
      </c>
      <c r="E4" s="26" t="s">
        <v>158</v>
      </c>
      <c r="F4" s="10" t="s">
        <v>135</v>
      </c>
      <c r="G4" s="26" t="s">
        <v>160</v>
      </c>
      <c r="H4" s="10" t="s">
        <v>161</v>
      </c>
      <c r="I4" s="26" t="s">
        <v>163</v>
      </c>
      <c r="J4" s="10" t="s">
        <v>111</v>
      </c>
      <c r="K4" s="26" t="s">
        <v>56</v>
      </c>
      <c r="L4" s="10" t="s">
        <v>59</v>
      </c>
      <c r="M4" s="10" t="s">
        <v>110</v>
      </c>
    </row>
    <row r="5" spans="1:13" ht="26.25" customHeight="1" x14ac:dyDescent="0.3">
      <c r="A5" s="41"/>
      <c r="B5" s="112"/>
      <c r="C5" s="26" t="s">
        <v>156</v>
      </c>
      <c r="D5" s="10" t="s">
        <v>157</v>
      </c>
      <c r="E5" s="26" t="s">
        <v>134</v>
      </c>
      <c r="F5" s="10" t="s">
        <v>159</v>
      </c>
      <c r="G5" s="26" t="s">
        <v>136</v>
      </c>
      <c r="H5" s="10" t="s">
        <v>162</v>
      </c>
      <c r="I5" s="26" t="s">
        <v>171</v>
      </c>
      <c r="J5" s="10" t="s">
        <v>164</v>
      </c>
      <c r="K5" s="56" t="s">
        <v>174</v>
      </c>
      <c r="L5" s="57" t="s">
        <v>174</v>
      </c>
      <c r="M5" s="57" t="s">
        <v>174</v>
      </c>
    </row>
    <row r="6" spans="1:13" ht="26.25" customHeight="1" x14ac:dyDescent="0.3">
      <c r="A6" s="41"/>
      <c r="B6" s="112"/>
      <c r="C6" s="26" t="s">
        <v>46</v>
      </c>
      <c r="D6" s="7" t="s">
        <v>55</v>
      </c>
      <c r="E6" s="26" t="s">
        <v>55</v>
      </c>
      <c r="F6" s="7" t="s">
        <v>55</v>
      </c>
      <c r="G6" s="26" t="s">
        <v>55</v>
      </c>
      <c r="H6" s="7" t="s">
        <v>46</v>
      </c>
      <c r="I6" s="26" t="s">
        <v>46</v>
      </c>
      <c r="J6" s="22"/>
      <c r="K6" s="56" t="s">
        <v>175</v>
      </c>
      <c r="L6" s="58" t="s">
        <v>175</v>
      </c>
      <c r="M6" s="58" t="s">
        <v>175</v>
      </c>
    </row>
    <row r="7" spans="1:13" s="13" customFormat="1" ht="15.75" x14ac:dyDescent="0.25">
      <c r="A7" s="5">
        <v>1</v>
      </c>
      <c r="B7" s="5">
        <v>2</v>
      </c>
      <c r="C7" s="5">
        <v>3</v>
      </c>
      <c r="D7" s="5">
        <v>4</v>
      </c>
      <c r="E7" s="5">
        <v>5</v>
      </c>
      <c r="F7" s="5">
        <v>6</v>
      </c>
      <c r="G7" s="5">
        <v>7</v>
      </c>
      <c r="H7" s="5">
        <v>8</v>
      </c>
      <c r="I7" s="5">
        <v>9</v>
      </c>
      <c r="J7" s="5">
        <v>10</v>
      </c>
      <c r="K7" s="5">
        <v>11</v>
      </c>
      <c r="L7" s="5">
        <v>12</v>
      </c>
      <c r="M7" s="5">
        <v>13</v>
      </c>
    </row>
    <row r="8" spans="1:13" s="50" customFormat="1" ht="28.2" customHeight="1" x14ac:dyDescent="0.3">
      <c r="A8" s="54" t="s">
        <v>176</v>
      </c>
      <c r="B8" s="123" t="s">
        <v>177</v>
      </c>
      <c r="C8" s="123"/>
      <c r="D8" s="123"/>
      <c r="E8" s="123"/>
      <c r="F8" s="123"/>
      <c r="G8" s="123"/>
      <c r="H8" s="123"/>
      <c r="I8" s="123"/>
      <c r="J8" s="123"/>
      <c r="K8" s="123"/>
      <c r="L8" s="123"/>
      <c r="M8" s="123"/>
    </row>
    <row r="9" spans="1:13" s="50" customFormat="1" ht="31.5" customHeight="1" x14ac:dyDescent="0.3">
      <c r="A9" s="54" t="s">
        <v>60</v>
      </c>
      <c r="B9" s="123" t="s">
        <v>493</v>
      </c>
      <c r="C9" s="123"/>
      <c r="D9" s="123"/>
      <c r="E9" s="123"/>
      <c r="F9" s="123"/>
      <c r="G9" s="123"/>
      <c r="H9" s="123"/>
      <c r="I9" s="123"/>
      <c r="J9" s="123"/>
      <c r="K9" s="123"/>
      <c r="L9" s="123"/>
      <c r="M9" s="123"/>
    </row>
    <row r="10" spans="1:13" ht="18" customHeight="1" x14ac:dyDescent="0.3">
      <c r="A10" s="8" t="s">
        <v>61</v>
      </c>
      <c r="B10" s="85" t="s">
        <v>165</v>
      </c>
      <c r="C10" s="24" t="s">
        <v>166</v>
      </c>
      <c r="D10" s="24">
        <f>100*1.06+1.06*16696+1</f>
        <v>17804.760000000002</v>
      </c>
      <c r="E10" s="24">
        <f t="shared" ref="E10:F11" si="0">100*1.06+1.06*16696+1</f>
        <v>17804.760000000002</v>
      </c>
      <c r="F10" s="24">
        <f t="shared" si="0"/>
        <v>17804.760000000002</v>
      </c>
      <c r="G10" s="24">
        <f>100*1.06+1.06*18353</f>
        <v>19560.18</v>
      </c>
      <c r="H10" s="24">
        <f>100*1.06+1.06*18353</f>
        <v>19560.18</v>
      </c>
      <c r="I10" s="24">
        <f>100*1.06+1.06*20133+3</f>
        <v>21449.98</v>
      </c>
      <c r="J10" s="24">
        <f>100*1.06+1.06*22098</f>
        <v>23529.88</v>
      </c>
      <c r="K10" s="24">
        <f>100*1.06+1.06*23651+4</f>
        <v>25180.06</v>
      </c>
      <c r="L10" s="24">
        <f>100*1.06+1.06*25627+4</f>
        <v>27274.620000000003</v>
      </c>
      <c r="M10" s="24">
        <f>100*1.06+1.06*27614+3</f>
        <v>29379.84</v>
      </c>
    </row>
    <row r="11" spans="1:13" ht="18" customHeight="1" x14ac:dyDescent="0.3">
      <c r="A11" s="8" t="s">
        <v>62</v>
      </c>
      <c r="B11" s="85" t="s">
        <v>167</v>
      </c>
      <c r="C11" s="24">
        <f>100*1.06+1.06*15234+1</f>
        <v>16255.04</v>
      </c>
      <c r="D11" s="24">
        <f>100*1.06+1.06*16696+1</f>
        <v>17804.760000000002</v>
      </c>
      <c r="E11" s="24">
        <f t="shared" si="0"/>
        <v>17804.760000000002</v>
      </c>
      <c r="F11" s="24">
        <f t="shared" si="0"/>
        <v>17804.760000000002</v>
      </c>
      <c r="G11" s="24">
        <f>100*1.06+1.06*18353</f>
        <v>19560.18</v>
      </c>
      <c r="H11" s="24">
        <f>100*1.06+1.06*18353</f>
        <v>19560.18</v>
      </c>
      <c r="I11" s="24">
        <f>100*1.06+1.06*20133+3</f>
        <v>21449.98</v>
      </c>
      <c r="J11" s="24">
        <f>100*1.06+1.06*22098</f>
        <v>23529.88</v>
      </c>
      <c r="K11" s="24">
        <f t="shared" ref="K11:K12" si="1">100*1.06+1.06*23651+4</f>
        <v>25180.06</v>
      </c>
      <c r="L11" s="24">
        <f t="shared" ref="L11:L12" si="2">100*1.06+1.06*25627+4</f>
        <v>27274.620000000003</v>
      </c>
      <c r="M11" s="24">
        <f t="shared" ref="M11:M12" si="3">100*1.06+1.06*27614+3</f>
        <v>29379.84</v>
      </c>
    </row>
    <row r="12" spans="1:13" ht="29.25" customHeight="1" x14ac:dyDescent="0.3">
      <c r="A12" s="8" t="s">
        <v>168</v>
      </c>
      <c r="B12" s="85" t="s">
        <v>179</v>
      </c>
      <c r="C12" s="24" t="s">
        <v>166</v>
      </c>
      <c r="D12" s="24">
        <f>100*1.06+1.06*20133+3</f>
        <v>21449.98</v>
      </c>
      <c r="E12" s="24">
        <f>100*1.06+1.06*22098</f>
        <v>23529.88</v>
      </c>
      <c r="F12" s="24">
        <f>100*1.06+1.06*22098</f>
        <v>23529.88</v>
      </c>
      <c r="G12" s="24">
        <f>100*1.06+1.06*22098</f>
        <v>23529.88</v>
      </c>
      <c r="H12" s="24">
        <f>100*1.06+1.06*22098</f>
        <v>23529.88</v>
      </c>
      <c r="I12" s="24">
        <f>100*1.06+1.06*22098</f>
        <v>23529.88</v>
      </c>
      <c r="J12" s="24">
        <f>100*1.06+1.06*22098</f>
        <v>23529.88</v>
      </c>
      <c r="K12" s="24">
        <f t="shared" si="1"/>
        <v>25180.06</v>
      </c>
      <c r="L12" s="24">
        <f t="shared" si="2"/>
        <v>27274.620000000003</v>
      </c>
      <c r="M12" s="24">
        <f t="shared" si="3"/>
        <v>29379.84</v>
      </c>
    </row>
    <row r="13" spans="1:13" s="50" customFormat="1" ht="60" customHeight="1" x14ac:dyDescent="0.3">
      <c r="A13" s="54" t="s">
        <v>64</v>
      </c>
      <c r="B13" s="124" t="s">
        <v>492</v>
      </c>
      <c r="C13" s="124"/>
      <c r="D13" s="124"/>
      <c r="E13" s="124"/>
      <c r="F13" s="124"/>
      <c r="G13" s="124"/>
      <c r="H13" s="124"/>
      <c r="I13" s="124"/>
      <c r="J13" s="124"/>
      <c r="K13" s="124"/>
      <c r="L13" s="124"/>
      <c r="M13" s="124"/>
    </row>
    <row r="14" spans="1:13" ht="18" customHeight="1" x14ac:dyDescent="0.3">
      <c r="A14" s="8" t="s">
        <v>65</v>
      </c>
      <c r="B14" s="84" t="s">
        <v>172</v>
      </c>
      <c r="C14" s="25" t="s">
        <v>166</v>
      </c>
      <c r="D14" s="25">
        <f>100*1.06+1.06*13705+2</f>
        <v>14635.300000000001</v>
      </c>
      <c r="E14" s="25">
        <f>100*1.06+1.06*14075+4</f>
        <v>15029.5</v>
      </c>
      <c r="F14" s="25">
        <f>100*1.06+1.06*14995+4</f>
        <v>16004.7</v>
      </c>
      <c r="G14" s="25">
        <f>100*1.06+1.06*16480</f>
        <v>17574.8</v>
      </c>
      <c r="H14" s="25">
        <f>100*1.06+1.06*17585+4</f>
        <v>18750.100000000002</v>
      </c>
      <c r="I14" s="25">
        <f>100*1.06+1.06*17585+4</f>
        <v>18750.100000000002</v>
      </c>
      <c r="J14" s="25">
        <f>100*1.06+1.06*17585+4</f>
        <v>18750.100000000002</v>
      </c>
      <c r="K14" s="25">
        <f>100*1.06+1.06*14995+4</f>
        <v>16004.7</v>
      </c>
      <c r="L14" s="25">
        <f>100*1.06+1.06*16480</f>
        <v>17574.8</v>
      </c>
      <c r="M14" s="25">
        <f>100*1.06+1.06*17585+4</f>
        <v>18750.100000000002</v>
      </c>
    </row>
    <row r="15" spans="1:13" s="50" customFormat="1" ht="28.8" customHeight="1" x14ac:dyDescent="0.3">
      <c r="A15" s="54" t="s">
        <v>70</v>
      </c>
      <c r="B15" s="124" t="s">
        <v>494</v>
      </c>
      <c r="C15" s="124"/>
      <c r="D15" s="124"/>
      <c r="E15" s="124"/>
      <c r="F15" s="124"/>
      <c r="G15" s="124"/>
      <c r="H15" s="124"/>
      <c r="I15" s="124"/>
      <c r="J15" s="124"/>
      <c r="K15" s="124"/>
      <c r="L15" s="124"/>
      <c r="M15" s="124"/>
    </row>
    <row r="16" spans="1:13" ht="18" customHeight="1" x14ac:dyDescent="0.3">
      <c r="A16" s="8" t="s">
        <v>71</v>
      </c>
      <c r="B16" s="84" t="s">
        <v>172</v>
      </c>
      <c r="C16" s="25" t="s">
        <v>166</v>
      </c>
      <c r="D16" s="25">
        <f>100*1.06+1.06*14745+4</f>
        <v>15739.7</v>
      </c>
      <c r="E16" s="25">
        <f t="shared" ref="E16:F16" si="4">100*1.06+1.06*14745+4</f>
        <v>15739.7</v>
      </c>
      <c r="F16" s="25">
        <f t="shared" si="4"/>
        <v>15739.7</v>
      </c>
      <c r="G16" s="25">
        <f>100*1.06+1.06*16425+3</f>
        <v>17519.5</v>
      </c>
      <c r="H16" s="25">
        <f>100*1.06+1.06*16425+3</f>
        <v>17519.5</v>
      </c>
      <c r="I16" s="25">
        <f>100*1.06+1.06*17880+1</f>
        <v>19059.8</v>
      </c>
      <c r="J16" s="25">
        <f>100*1.06+1.06*18365+2</f>
        <v>19574.900000000001</v>
      </c>
      <c r="K16" s="25">
        <f>100*1.06+1.06*19575+4</f>
        <v>20859.5</v>
      </c>
      <c r="L16" s="25">
        <f>100*1.06+1.06*21495+4</f>
        <v>22894.7</v>
      </c>
      <c r="M16" s="25">
        <f>100*1.06+1.06*22945+2</f>
        <v>24429.7</v>
      </c>
    </row>
    <row r="17" spans="1:13" s="50" customFormat="1" ht="15.6" x14ac:dyDescent="0.3">
      <c r="A17" s="54" t="s">
        <v>76</v>
      </c>
      <c r="B17" s="124" t="s">
        <v>549</v>
      </c>
      <c r="C17" s="124"/>
      <c r="D17" s="124"/>
      <c r="E17" s="124"/>
      <c r="F17" s="124"/>
      <c r="G17" s="124"/>
      <c r="H17" s="124"/>
      <c r="I17" s="124"/>
      <c r="J17" s="124"/>
      <c r="K17" s="124"/>
      <c r="L17" s="124"/>
      <c r="M17" s="124"/>
    </row>
    <row r="18" spans="1:13" ht="18" customHeight="1" x14ac:dyDescent="0.3">
      <c r="A18" s="8" t="s">
        <v>77</v>
      </c>
      <c r="B18" s="84" t="s">
        <v>172</v>
      </c>
      <c r="C18" s="25" t="s">
        <v>166</v>
      </c>
      <c r="D18" s="25">
        <f t="shared" ref="D18:F19" si="5">100*1.2+1.2*11300</f>
        <v>13680</v>
      </c>
      <c r="E18" s="25">
        <f t="shared" si="5"/>
        <v>13680</v>
      </c>
      <c r="F18" s="25">
        <f t="shared" si="5"/>
        <v>13680</v>
      </c>
      <c r="G18" s="25">
        <f>100*1.2+1.2*12585+3</f>
        <v>15225</v>
      </c>
      <c r="H18" s="25">
        <f>100*1.2+1.2*12585+3</f>
        <v>15225</v>
      </c>
      <c r="I18" s="25">
        <f>100*1.2+1.2*13705+4</f>
        <v>16570</v>
      </c>
      <c r="J18" s="25">
        <f>100*1.2+1.2*14075</f>
        <v>17010</v>
      </c>
      <c r="K18" s="25">
        <f>100*1.2+1.2*14995+1</f>
        <v>18115</v>
      </c>
      <c r="L18" s="25">
        <f>100*1.2+1.2*16480+4</f>
        <v>19900</v>
      </c>
      <c r="M18" s="25">
        <f>100*1.2+1.2*17585+3</f>
        <v>21225</v>
      </c>
    </row>
    <row r="19" spans="1:13" ht="18" customHeight="1" x14ac:dyDescent="0.3">
      <c r="A19" s="8" t="s">
        <v>169</v>
      </c>
      <c r="B19" s="84" t="s">
        <v>167</v>
      </c>
      <c r="C19" s="25">
        <f>100*1.2+1.2*10375</f>
        <v>12570</v>
      </c>
      <c r="D19" s="25">
        <f t="shared" si="5"/>
        <v>13680</v>
      </c>
      <c r="E19" s="25">
        <f t="shared" si="5"/>
        <v>13680</v>
      </c>
      <c r="F19" s="25">
        <f t="shared" si="5"/>
        <v>13680</v>
      </c>
      <c r="G19" s="25">
        <f>100*1.2+1.2*12585+3</f>
        <v>15225</v>
      </c>
      <c r="H19" s="25">
        <f>100*1.2+1.2*12585+3</f>
        <v>15225</v>
      </c>
      <c r="I19" s="25">
        <f>100*1.2+1.2*13705+4</f>
        <v>16570</v>
      </c>
      <c r="J19" s="25">
        <f>100*1.2+1.2*14075</f>
        <v>17010</v>
      </c>
      <c r="K19" s="25">
        <f t="shared" ref="K19:K20" si="6">100*1.2+1.2*14995+1</f>
        <v>18115</v>
      </c>
      <c r="L19" s="25">
        <f t="shared" ref="L19:L20" si="7">100*1.2+1.2*16480+4</f>
        <v>19900</v>
      </c>
      <c r="M19" s="25">
        <f t="shared" ref="M19:M20" si="8">100*1.2+1.2*17585+3</f>
        <v>21225</v>
      </c>
    </row>
    <row r="20" spans="1:13" ht="43.8" customHeight="1" x14ac:dyDescent="0.3">
      <c r="A20" s="8" t="s">
        <v>170</v>
      </c>
      <c r="B20" s="85" t="s">
        <v>180</v>
      </c>
      <c r="C20" s="25" t="s">
        <v>166</v>
      </c>
      <c r="D20" s="25">
        <f>100*1.2+1.2*13705+4</f>
        <v>16570</v>
      </c>
      <c r="E20" s="25">
        <f>100*1.2+1.2*14075</f>
        <v>17010</v>
      </c>
      <c r="F20" s="25">
        <f>100*1.2+1.2*14075</f>
        <v>17010</v>
      </c>
      <c r="G20" s="25">
        <f>100*1.2+1.2*14075</f>
        <v>17010</v>
      </c>
      <c r="H20" s="25">
        <f>100*1.2+1.2*14075</f>
        <v>17010</v>
      </c>
      <c r="I20" s="25">
        <f>100*1.2+1.2*14075</f>
        <v>17010</v>
      </c>
      <c r="J20" s="25">
        <f>100*1.2+1.2*14075</f>
        <v>17010</v>
      </c>
      <c r="K20" s="25">
        <f t="shared" si="6"/>
        <v>18115</v>
      </c>
      <c r="L20" s="25">
        <f t="shared" si="7"/>
        <v>19900</v>
      </c>
      <c r="M20" s="25">
        <f t="shared" si="8"/>
        <v>21225</v>
      </c>
    </row>
    <row r="21" spans="1:13" ht="33" customHeight="1" x14ac:dyDescent="0.3">
      <c r="A21" s="138" t="s">
        <v>495</v>
      </c>
      <c r="B21" s="96"/>
      <c r="C21" s="96"/>
      <c r="D21" s="96"/>
      <c r="E21" s="96"/>
      <c r="F21" s="96"/>
      <c r="G21" s="96"/>
      <c r="H21" s="96"/>
      <c r="I21" s="96"/>
      <c r="J21" s="96"/>
      <c r="K21" s="96"/>
      <c r="L21" s="96"/>
      <c r="M21" s="96"/>
    </row>
  </sheetData>
  <mergeCells count="9">
    <mergeCell ref="B3:B6"/>
    <mergeCell ref="C3:J3"/>
    <mergeCell ref="K3:M3"/>
    <mergeCell ref="B8:M8"/>
    <mergeCell ref="A21:M21"/>
    <mergeCell ref="B17:M17"/>
    <mergeCell ref="B15:M15"/>
    <mergeCell ref="B13:M13"/>
    <mergeCell ref="B9:M9"/>
  </mergeCells>
  <pageMargins left="0.70866141732283472" right="0.70866141732283472" top="0.74803149606299213" bottom="0.74803149606299213" header="0.31496062992125984" footer="0.31496062992125984"/>
  <pageSetup paperSize="9" fitToWidth="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4</vt:i4>
      </vt:variant>
    </vt:vector>
  </HeadingPairs>
  <TitlesOfParts>
    <vt:vector size="18" baseType="lpstr">
      <vt:lpstr>1 т.1</vt:lpstr>
      <vt:lpstr>1 т.2и3</vt:lpstr>
      <vt:lpstr>1 т.4</vt:lpstr>
      <vt:lpstr>1 т.5</vt:lpstr>
      <vt:lpstr>1 т.6</vt:lpstr>
      <vt:lpstr>1 т.7</vt:lpstr>
      <vt:lpstr>2 т.1</vt:lpstr>
      <vt:lpstr>2 т.2</vt:lpstr>
      <vt:lpstr>2 т.3</vt:lpstr>
      <vt:lpstr>3</vt:lpstr>
      <vt:lpstr>4 n.1</vt:lpstr>
      <vt:lpstr>4 n.2</vt:lpstr>
      <vt:lpstr>5</vt:lpstr>
      <vt:lpstr>6</vt:lpstr>
      <vt:lpstr>'2 т.1'!Заголовки_для_печати</vt:lpstr>
      <vt:lpstr>'2 т.2'!Заголовки_для_печати</vt:lpstr>
      <vt:lpstr>'3'!Заголовки_для_печати</vt:lpstr>
      <vt:lpstr>'5'!Заголовки_для_печати</vt:lpstr>
    </vt:vector>
  </TitlesOfParts>
  <Company>Krokoz™</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Office</dc:creator>
  <cp:lastModifiedBy>-</cp:lastModifiedBy>
  <cp:lastPrinted>2014-04-29T15:15:55Z</cp:lastPrinted>
  <dcterms:created xsi:type="dcterms:W3CDTF">2014-04-27T16:18:51Z</dcterms:created>
  <dcterms:modified xsi:type="dcterms:W3CDTF">2014-05-12T07:55:21Z</dcterms:modified>
</cp:coreProperties>
</file>